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faacmarchseptember2021disbursement\"/>
    </mc:Choice>
  </mc:AlternateContent>
  <xr:revisionPtr revIDLastSave="0" documentId="13_ncr:1_{C31411BB-DBDC-4E14-94CF-BD6F3F49AC20}" xr6:coauthVersionLast="47" xr6:coauthVersionMax="47" xr10:uidLastSave="{00000000-0000-0000-0000-000000000000}"/>
  <bookViews>
    <workbookView xWindow="-108" yWindow="-108" windowWidth="23256" windowHeight="12456" firstSheet="1" activeTab="4" xr2:uid="{00000000-000D-0000-FFFF-FFFF00000000}"/>
  </bookViews>
  <sheets>
    <sheet name="MONTHENTRY" sheetId="8" state="hidden" r:id="rId1"/>
    <sheet name="Sum &amp; FG" sheetId="4" r:id="rId2"/>
    <sheet name="SG Details" sheetId="1" r:id="rId3"/>
    <sheet name="State Ecology " sheetId="11" r:id="rId4"/>
    <sheet name="Lgcs Sum " sheetId="17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Details'!$A$1:$U$56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4" l="1"/>
  <c r="L30" i="4"/>
  <c r="L31" i="4"/>
  <c r="L32" i="4"/>
  <c r="L33" i="4"/>
  <c r="L28" i="4"/>
  <c r="L8" i="4" l="1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M7" i="4"/>
  <c r="L7" i="4"/>
  <c r="K20" i="4"/>
  <c r="K8" i="4"/>
  <c r="K9" i="4"/>
  <c r="K10" i="4"/>
  <c r="K11" i="4"/>
  <c r="K12" i="4"/>
  <c r="K13" i="4"/>
  <c r="K14" i="4"/>
  <c r="K15" i="4"/>
  <c r="K16" i="4"/>
  <c r="K17" i="4"/>
  <c r="K18" i="4"/>
  <c r="K19" i="4"/>
  <c r="K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7" i="4"/>
  <c r="H37" i="11"/>
  <c r="G37" i="11"/>
  <c r="F37" i="11"/>
  <c r="E37" i="11"/>
  <c r="D37" i="11"/>
  <c r="H40" i="11"/>
  <c r="G40" i="11"/>
  <c r="F40" i="11"/>
  <c r="E40" i="11"/>
  <c r="D40" i="11"/>
  <c r="I40" i="11" s="1"/>
  <c r="D45" i="17" l="1"/>
  <c r="I45" i="17"/>
  <c r="H45" i="17"/>
  <c r="G45" i="17"/>
  <c r="F45" i="17"/>
  <c r="K45" i="17"/>
  <c r="J37" i="17"/>
  <c r="J32" i="17"/>
  <c r="J29" i="17"/>
  <c r="J28" i="17"/>
  <c r="J27" i="17"/>
  <c r="J13" i="17"/>
  <c r="L13" i="17"/>
  <c r="E43" i="17"/>
  <c r="L43" i="17" s="1"/>
  <c r="E42" i="17"/>
  <c r="L42" i="17" s="1"/>
  <c r="E41" i="17"/>
  <c r="L41" i="17" s="1"/>
  <c r="E40" i="17"/>
  <c r="L40" i="17" s="1"/>
  <c r="E39" i="17"/>
  <c r="L39" i="17" s="1"/>
  <c r="E38" i="17"/>
  <c r="L38" i="17" s="1"/>
  <c r="E37" i="17"/>
  <c r="L37" i="17" s="1"/>
  <c r="E36" i="17"/>
  <c r="L36" i="17" s="1"/>
  <c r="E35" i="17"/>
  <c r="L35" i="17" s="1"/>
  <c r="E34" i="17"/>
  <c r="L34" i="17" s="1"/>
  <c r="E33" i="17"/>
  <c r="L33" i="17" s="1"/>
  <c r="E32" i="17"/>
  <c r="L32" i="17" s="1"/>
  <c r="E31" i="17"/>
  <c r="L31" i="17" s="1"/>
  <c r="E30" i="17"/>
  <c r="L30" i="17" s="1"/>
  <c r="E29" i="17"/>
  <c r="L29" i="17" s="1"/>
  <c r="E28" i="17"/>
  <c r="E27" i="17"/>
  <c r="L27" i="17" s="1"/>
  <c r="E26" i="17"/>
  <c r="L26" i="17" s="1"/>
  <c r="E25" i="17"/>
  <c r="L25" i="17" s="1"/>
  <c r="E24" i="17"/>
  <c r="L24" i="17" s="1"/>
  <c r="E23" i="17"/>
  <c r="L23" i="17" s="1"/>
  <c r="E22" i="17"/>
  <c r="L22" i="17" s="1"/>
  <c r="E21" i="17"/>
  <c r="L21" i="17" s="1"/>
  <c r="E20" i="17"/>
  <c r="L20" i="17" s="1"/>
  <c r="E19" i="17"/>
  <c r="L19" i="17" s="1"/>
  <c r="E18" i="17"/>
  <c r="L18" i="17" s="1"/>
  <c r="E17" i="17"/>
  <c r="L17" i="17" s="1"/>
  <c r="E16" i="17"/>
  <c r="L16" i="17" s="1"/>
  <c r="E15" i="17"/>
  <c r="L15" i="17" s="1"/>
  <c r="E14" i="17"/>
  <c r="L14" i="17" s="1"/>
  <c r="E13" i="17"/>
  <c r="E12" i="17"/>
  <c r="L12" i="17" s="1"/>
  <c r="E11" i="17"/>
  <c r="L11" i="17" s="1"/>
  <c r="E10" i="17"/>
  <c r="L10" i="17" s="1"/>
  <c r="E9" i="17"/>
  <c r="L9" i="17" s="1"/>
  <c r="E8" i="17"/>
  <c r="L8" i="17" s="1"/>
  <c r="E7" i="17"/>
  <c r="L7" i="17" s="1"/>
  <c r="L28" i="17" l="1"/>
  <c r="E45" i="17"/>
  <c r="J44" i="17"/>
  <c r="L44" i="17" s="1"/>
  <c r="L45" i="17" s="1"/>
  <c r="J45" i="17" l="1"/>
  <c r="G9" i="4" l="1"/>
  <c r="G8" i="4"/>
  <c r="I8" i="4" s="1"/>
  <c r="Q49" i="1"/>
  <c r="P49" i="1"/>
  <c r="O49" i="1"/>
  <c r="N49" i="1"/>
  <c r="M49" i="1"/>
  <c r="L49" i="1"/>
  <c r="K49" i="1"/>
  <c r="H49" i="1"/>
  <c r="G49" i="1"/>
  <c r="E49" i="1"/>
  <c r="D49" i="1"/>
  <c r="F47" i="1"/>
  <c r="J47" i="1" s="1"/>
  <c r="R47" i="1"/>
  <c r="S48" i="1"/>
  <c r="T48" i="1"/>
  <c r="I10" i="4"/>
  <c r="I9" i="4"/>
  <c r="I7" i="4"/>
  <c r="F46" i="1"/>
  <c r="S46" i="1" s="1"/>
  <c r="F10" i="1"/>
  <c r="S10" i="1" s="1"/>
  <c r="I10" i="1"/>
  <c r="R10" i="1"/>
  <c r="F11" i="1"/>
  <c r="S11" i="1" s="1"/>
  <c r="I11" i="1"/>
  <c r="R11" i="1"/>
  <c r="F12" i="1"/>
  <c r="I12" i="1"/>
  <c r="R12" i="1"/>
  <c r="F13" i="1"/>
  <c r="I13" i="1"/>
  <c r="R13" i="1"/>
  <c r="F14" i="1"/>
  <c r="S14" i="1" s="1"/>
  <c r="I14" i="1"/>
  <c r="R14" i="1"/>
  <c r="F15" i="1"/>
  <c r="I15" i="1"/>
  <c r="R15" i="1"/>
  <c r="F16" i="1"/>
  <c r="I16" i="1"/>
  <c r="R16" i="1"/>
  <c r="F17" i="1"/>
  <c r="I17" i="1"/>
  <c r="R17" i="1"/>
  <c r="F18" i="1"/>
  <c r="S18" i="1" s="1"/>
  <c r="I18" i="1"/>
  <c r="R18" i="1"/>
  <c r="F19" i="1"/>
  <c r="J19" i="1" s="1"/>
  <c r="T19" i="1" s="1"/>
  <c r="I19" i="1"/>
  <c r="R19" i="1"/>
  <c r="F20" i="1"/>
  <c r="I20" i="1"/>
  <c r="R20" i="1"/>
  <c r="F21" i="1"/>
  <c r="I21" i="1"/>
  <c r="R21" i="1"/>
  <c r="F22" i="1"/>
  <c r="S22" i="1" s="1"/>
  <c r="I22" i="1"/>
  <c r="R22" i="1"/>
  <c r="F23" i="1"/>
  <c r="I23" i="1"/>
  <c r="R23" i="1"/>
  <c r="F24" i="1"/>
  <c r="I24" i="1"/>
  <c r="R24" i="1"/>
  <c r="F25" i="1"/>
  <c r="S25" i="1" s="1"/>
  <c r="I25" i="1"/>
  <c r="R25" i="1"/>
  <c r="F26" i="1"/>
  <c r="J26" i="1" s="1"/>
  <c r="I26" i="1"/>
  <c r="R26" i="1"/>
  <c r="F27" i="1"/>
  <c r="S27" i="1" s="1"/>
  <c r="I27" i="1"/>
  <c r="R27" i="1"/>
  <c r="F28" i="1"/>
  <c r="S28" i="1" s="1"/>
  <c r="I28" i="1"/>
  <c r="R28" i="1"/>
  <c r="F29" i="1"/>
  <c r="S29" i="1" s="1"/>
  <c r="I29" i="1"/>
  <c r="R29" i="1"/>
  <c r="F30" i="1"/>
  <c r="S30" i="1" s="1"/>
  <c r="I30" i="1"/>
  <c r="R30" i="1"/>
  <c r="F31" i="1"/>
  <c r="S31" i="1" s="1"/>
  <c r="I31" i="1"/>
  <c r="R31" i="1"/>
  <c r="F32" i="1"/>
  <c r="J32" i="1" s="1"/>
  <c r="T32" i="1" s="1"/>
  <c r="I32" i="1"/>
  <c r="R32" i="1"/>
  <c r="F33" i="1"/>
  <c r="I33" i="1"/>
  <c r="R33" i="1"/>
  <c r="F34" i="1"/>
  <c r="I34" i="1"/>
  <c r="J34" i="1"/>
  <c r="T34" i="1" s="1"/>
  <c r="R34" i="1"/>
  <c r="F35" i="1"/>
  <c r="J35" i="1" s="1"/>
  <c r="I35" i="1"/>
  <c r="R35" i="1"/>
  <c r="F36" i="1"/>
  <c r="S36" i="1" s="1"/>
  <c r="I36" i="1"/>
  <c r="R36" i="1"/>
  <c r="F37" i="1"/>
  <c r="S37" i="1" s="1"/>
  <c r="I37" i="1"/>
  <c r="R37" i="1"/>
  <c r="F38" i="1"/>
  <c r="I38" i="1"/>
  <c r="R38" i="1"/>
  <c r="F39" i="1"/>
  <c r="I39" i="1"/>
  <c r="R39" i="1"/>
  <c r="F40" i="1"/>
  <c r="S40" i="1" s="1"/>
  <c r="I40" i="1"/>
  <c r="R40" i="1"/>
  <c r="F41" i="1"/>
  <c r="S41" i="1" s="1"/>
  <c r="I41" i="1"/>
  <c r="R41" i="1"/>
  <c r="F42" i="1"/>
  <c r="I42" i="1"/>
  <c r="R42" i="1"/>
  <c r="F43" i="1"/>
  <c r="J43" i="1" s="1"/>
  <c r="I43" i="1"/>
  <c r="R43" i="1"/>
  <c r="F44" i="1"/>
  <c r="I44" i="1"/>
  <c r="R44" i="1"/>
  <c r="F45" i="1"/>
  <c r="J45" i="1" s="1"/>
  <c r="I45" i="1"/>
  <c r="R45" i="1"/>
  <c r="R46" i="1"/>
  <c r="S12" i="1"/>
  <c r="S16" i="1"/>
  <c r="S17" i="1"/>
  <c r="S20" i="1"/>
  <c r="S21" i="1"/>
  <c r="S24" i="1"/>
  <c r="S26" i="1"/>
  <c r="S34" i="1"/>
  <c r="S35" i="1"/>
  <c r="S38" i="1"/>
  <c r="S39" i="1"/>
  <c r="S43" i="1"/>
  <c r="I7" i="11"/>
  <c r="I8" i="11"/>
  <c r="I9" i="11"/>
  <c r="I10" i="11"/>
  <c r="I11" i="11"/>
  <c r="I12" i="11"/>
  <c r="D13" i="11"/>
  <c r="E13" i="11"/>
  <c r="F13" i="11"/>
  <c r="G13" i="11"/>
  <c r="H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D27" i="11"/>
  <c r="E27" i="11"/>
  <c r="F27" i="11"/>
  <c r="G27" i="11"/>
  <c r="H27" i="11"/>
  <c r="D28" i="11"/>
  <c r="E28" i="11"/>
  <c r="I28" i="11" s="1"/>
  <c r="F28" i="11"/>
  <c r="G28" i="11"/>
  <c r="H28" i="11"/>
  <c r="D29" i="11"/>
  <c r="E29" i="11"/>
  <c r="F29" i="11"/>
  <c r="G29" i="11"/>
  <c r="H29" i="11"/>
  <c r="I30" i="11"/>
  <c r="I31" i="11"/>
  <c r="D32" i="11"/>
  <c r="E32" i="11"/>
  <c r="F32" i="11"/>
  <c r="G32" i="11"/>
  <c r="H32" i="11"/>
  <c r="I33" i="11"/>
  <c r="I34" i="11"/>
  <c r="I35" i="11"/>
  <c r="I36" i="11"/>
  <c r="I37" i="11"/>
  <c r="I38" i="11"/>
  <c r="H39" i="11"/>
  <c r="I39" i="11" s="1"/>
  <c r="I41" i="11"/>
  <c r="I42" i="11"/>
  <c r="I33" i="4"/>
  <c r="E28" i="4"/>
  <c r="E31" i="4"/>
  <c r="K31" i="4" s="1"/>
  <c r="E29" i="4"/>
  <c r="E30" i="4"/>
  <c r="E33" i="4" s="1"/>
  <c r="E32" i="4"/>
  <c r="I18" i="4"/>
  <c r="F33" i="4"/>
  <c r="G33" i="4"/>
  <c r="J33" i="4"/>
  <c r="H33" i="4"/>
  <c r="D33" i="4"/>
  <c r="C33" i="4"/>
  <c r="D20" i="4"/>
  <c r="I11" i="4"/>
  <c r="I12" i="4"/>
  <c r="I13" i="4"/>
  <c r="I14" i="4"/>
  <c r="I15" i="4"/>
  <c r="I16" i="4"/>
  <c r="I17" i="4"/>
  <c r="C20" i="4"/>
  <c r="I19" i="4"/>
  <c r="F20" i="4"/>
  <c r="H20" i="4"/>
  <c r="G20" i="4"/>
  <c r="E20" i="4"/>
  <c r="F5" i="8"/>
  <c r="B1" i="8"/>
  <c r="C1" i="8"/>
  <c r="J15" i="1" l="1"/>
  <c r="T15" i="1" s="1"/>
  <c r="K30" i="4"/>
  <c r="G43" i="11"/>
  <c r="J23" i="1"/>
  <c r="T23" i="1" s="1"/>
  <c r="J31" i="1"/>
  <c r="T31" i="1" s="1"/>
  <c r="S23" i="1"/>
  <c r="T43" i="1"/>
  <c r="T35" i="1"/>
  <c r="H43" i="11"/>
  <c r="K32" i="4"/>
  <c r="S47" i="1"/>
  <c r="F44" i="11"/>
  <c r="J42" i="1"/>
  <c r="T42" i="1" s="1"/>
  <c r="T26" i="1"/>
  <c r="J24" i="1"/>
  <c r="T24" i="1" s="1"/>
  <c r="T47" i="1"/>
  <c r="F43" i="11"/>
  <c r="J44" i="1"/>
  <c r="T44" i="1" s="1"/>
  <c r="J13" i="1"/>
  <c r="T13" i="1" s="1"/>
  <c r="E43" i="11"/>
  <c r="S45" i="1"/>
  <c r="J36" i="1"/>
  <c r="T36" i="1" s="1"/>
  <c r="D43" i="11"/>
  <c r="D44" i="11" s="1"/>
  <c r="S42" i="1"/>
  <c r="S19" i="1"/>
  <c r="J33" i="1"/>
  <c r="J22" i="1"/>
  <c r="T22" i="1" s="1"/>
  <c r="J14" i="1"/>
  <c r="T14" i="1" s="1"/>
  <c r="E44" i="11"/>
  <c r="I20" i="4"/>
  <c r="K28" i="4"/>
  <c r="I29" i="11"/>
  <c r="S33" i="1"/>
  <c r="J39" i="1"/>
  <c r="T39" i="1" s="1"/>
  <c r="J29" i="1"/>
  <c r="T29" i="1" s="1"/>
  <c r="J17" i="1"/>
  <c r="T17" i="1" s="1"/>
  <c r="J12" i="1"/>
  <c r="T12" i="1" s="1"/>
  <c r="I32" i="11"/>
  <c r="S32" i="1"/>
  <c r="J46" i="1"/>
  <c r="T46" i="1" s="1"/>
  <c r="S15" i="1"/>
  <c r="J41" i="1"/>
  <c r="T41" i="1" s="1"/>
  <c r="G44" i="11"/>
  <c r="I27" i="11"/>
  <c r="J38" i="1"/>
  <c r="T38" i="1" s="1"/>
  <c r="J28" i="1"/>
  <c r="T28" i="1" s="1"/>
  <c r="J21" i="1"/>
  <c r="T21" i="1" s="1"/>
  <c r="J16" i="1"/>
  <c r="T16" i="1" s="1"/>
  <c r="J11" i="1"/>
  <c r="T11" i="1" s="1"/>
  <c r="I13" i="11"/>
  <c r="I43" i="11" s="1"/>
  <c r="S13" i="1"/>
  <c r="T45" i="1"/>
  <c r="J40" i="1"/>
  <c r="T40" i="1" s="1"/>
  <c r="T33" i="1"/>
  <c r="J30" i="1"/>
  <c r="T30" i="1" s="1"/>
  <c r="J18" i="1"/>
  <c r="T18" i="1" s="1"/>
  <c r="R49" i="1"/>
  <c r="K29" i="4"/>
  <c r="H44" i="11"/>
  <c r="S44" i="1"/>
  <c r="J27" i="1"/>
  <c r="T27" i="1" s="1"/>
  <c r="I49" i="1"/>
  <c r="J37" i="1"/>
  <c r="T37" i="1" s="1"/>
  <c r="J25" i="1"/>
  <c r="T25" i="1" s="1"/>
  <c r="J20" i="1"/>
  <c r="T20" i="1" s="1"/>
  <c r="F49" i="1"/>
  <c r="J10" i="1"/>
  <c r="G5" i="8"/>
  <c r="B5" i="8" s="1"/>
  <c r="F11" i="8"/>
  <c r="F15" i="8"/>
  <c r="F12" i="8"/>
  <c r="F18" i="8"/>
  <c r="F9" i="8"/>
  <c r="F13" i="8"/>
  <c r="F14" i="8"/>
  <c r="F17" i="8"/>
  <c r="F19" i="8"/>
  <c r="F16" i="8"/>
  <c r="F8" i="8"/>
  <c r="F10" i="8"/>
  <c r="I44" i="11" l="1"/>
  <c r="S49" i="1"/>
  <c r="K33" i="4"/>
  <c r="T10" i="1"/>
  <c r="T49" i="1" s="1"/>
  <c r="J49" i="1"/>
  <c r="C5" i="8"/>
  <c r="B17" i="8"/>
  <c r="B13" i="8"/>
  <c r="B15" i="8"/>
  <c r="B14" i="8"/>
  <c r="B19" i="8"/>
  <c r="B10" i="8"/>
  <c r="B18" i="8"/>
  <c r="B8" i="8"/>
  <c r="B16" i="8"/>
  <c r="B9" i="8"/>
  <c r="B12" i="8"/>
  <c r="B11" i="8"/>
  <c r="F6" i="8" l="1"/>
  <c r="B6" i="8"/>
</calcChain>
</file>

<file path=xl/sharedStrings.xml><?xml version="1.0" encoding="utf-8"?>
<sst xmlns="http://schemas.openxmlformats.org/spreadsheetml/2006/main" count="304" uniqueCount="145">
  <si>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</si>
  <si>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</si>
  <si>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</si>
  <si>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</si>
  <si>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</si>
  <si>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</si>
  <si>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</si>
  <si>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Gross Statutory Allocation</t>
  </si>
  <si>
    <t>6=4+5</t>
  </si>
  <si>
    <t>10=6-(7+8+9)</t>
  </si>
  <si>
    <t>Sub-total</t>
  </si>
  <si>
    <t>Value Added Tax</t>
  </si>
  <si>
    <t>Contractual Obligation (ISPO)</t>
  </si>
  <si>
    <t>Net Statutory Allocation</t>
  </si>
  <si>
    <t>Total Net Amount</t>
  </si>
  <si>
    <t>Statutory</t>
  </si>
  <si>
    <t>Total</t>
  </si>
  <si>
    <t>13% Derivation Fund</t>
  </si>
  <si>
    <t>FGN (CRF Account)</t>
  </si>
  <si>
    <t>Share of Derivation &amp; Ecology</t>
  </si>
  <si>
    <t>Beneficiaries</t>
  </si>
  <si>
    <t>FGN (see Table II)</t>
  </si>
  <si>
    <t>Table III</t>
  </si>
  <si>
    <t>Note :</t>
  </si>
  <si>
    <t>Deductions</t>
  </si>
  <si>
    <t>VAT</t>
  </si>
  <si>
    <t>Total Gross Amount</t>
  </si>
  <si>
    <t>State (see Table III)</t>
  </si>
  <si>
    <t>LGCs (see Table IV)</t>
  </si>
  <si>
    <t>……………………………………………………………</t>
  </si>
  <si>
    <t>Federal Ministry of Finance, Abuja</t>
  </si>
  <si>
    <t>Abuja. Nigeria.</t>
  </si>
  <si>
    <t>13% Share of Derivation (Net)</t>
  </si>
  <si>
    <t>Payment for Fertilizer, State Water Supply Project, State Agricultural Project and National Fadama Project</t>
  </si>
  <si>
    <t>15=6+11+12+13+14</t>
  </si>
  <si>
    <t>16=10+11+12+13+14</t>
  </si>
  <si>
    <t>Exchange Gain Difference</t>
  </si>
  <si>
    <t>Check!!</t>
  </si>
  <si>
    <t>Cost of Collection - NCS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</si>
  <si>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</si>
  <si>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</si>
  <si>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</si>
  <si>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</si>
  <si>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</si>
  <si>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</si>
  <si>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</si>
  <si>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</si>
  <si>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</si>
  <si>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</si>
  <si>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</si>
  <si>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</si>
  <si>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</si>
  <si>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</si>
  <si>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</si>
  <si>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</si>
  <si>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</si>
  <si>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</si>
  <si>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</si>
  <si>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</si>
  <si>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</si>
  <si>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</si>
  <si>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</si>
  <si>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</si>
  <si>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</si>
  <si>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</si>
  <si>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</si>
  <si>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</si>
  <si>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</si>
  <si>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</si>
  <si>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</si>
  <si>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</si>
  <si>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</si>
  <si>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</si>
  <si>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</si>
  <si>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</si>
  <si>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Gross VAT Allocation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</si>
  <si>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</si>
  <si>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</si>
  <si>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</si>
  <si>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</si>
  <si>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</si>
  <si>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</si>
  <si>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</si>
  <si>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</si>
  <si>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</si>
  <si>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</si>
  <si>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</si>
  <si>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</si>
  <si>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</si>
  <si>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</si>
  <si>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</si>
  <si>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</si>
  <si>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</si>
  <si>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</si>
  <si>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5=3-4-5</t>
  </si>
  <si>
    <t>11=5+6+7+8+9+10</t>
  </si>
  <si>
    <r>
      <t xml:space="preserve">Source: </t>
    </r>
    <r>
      <rPr>
        <b/>
        <sz val="18"/>
        <rFont val="Times New Roman"/>
        <family val="1"/>
      </rPr>
      <t>Office of the Accountant-General of the Federation</t>
    </r>
  </si>
  <si>
    <r>
      <t xml:space="preserve">The above information is also available on the Federal Ministry of Finance website </t>
    </r>
    <r>
      <rPr>
        <b/>
        <u/>
        <sz val="16"/>
        <rFont val="Times New Roman"/>
        <family val="1"/>
      </rPr>
      <t>www.fmf.gov.ng</t>
    </r>
    <r>
      <rPr>
        <b/>
        <sz val="16"/>
        <rFont val="Times New Roman"/>
        <family val="1"/>
      </rPr>
      <t xml:space="preserve"> and Office of Accountant-General of the Federation website </t>
    </r>
    <r>
      <rPr>
        <b/>
        <u/>
        <sz val="16"/>
        <rFont val="Times New Roman"/>
        <family val="1"/>
      </rPr>
      <t>www.oagf.gov.ng</t>
    </r>
    <r>
      <rPr>
        <b/>
        <sz val="16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family val="1"/>
      </rPr>
      <t>www.budgetoffice.gov.ng</t>
    </r>
    <r>
      <rPr>
        <b/>
        <sz val="16"/>
        <rFont val="Times New Roman"/>
        <family val="1"/>
      </rPr>
      <t xml:space="preserve"> also contains information about the Budget.</t>
    </r>
  </si>
  <si>
    <t>Summary of Gross Revenue Allocation by Federation Account Allocation Committee for the Month of May, 2021 Shared in June, 2021</t>
  </si>
  <si>
    <t>Office of the Accountant-General of the Federation</t>
  </si>
  <si>
    <t>₦</t>
  </si>
  <si>
    <t>Distribution of ₦7.940 from Solid Minerals Revenue</t>
  </si>
  <si>
    <t>Distribution of ₦20 Billion from Non-Oil Excess Account</t>
  </si>
  <si>
    <t>Distribution of ₦50 Billion from Non-Oil Excess Account</t>
  </si>
  <si>
    <t>Cost of Collections - FIRS</t>
  </si>
  <si>
    <t xml:space="preserve"> Cost of Collections - DPR</t>
  </si>
  <si>
    <t>North East Development Commission</t>
  </si>
  <si>
    <t>13% Derivation Refund to Oil Producing States</t>
  </si>
  <si>
    <t>FIRS Refunds</t>
  </si>
  <si>
    <t>Refunds on Cost of Collection</t>
  </si>
  <si>
    <t>Police Trust Fund</t>
  </si>
  <si>
    <t>Distribution of Revenue Allocation to FGN by Federation Account Allocation Committee for the Month of May Shared in June, 2021</t>
  </si>
  <si>
    <t>Less Deduction</t>
  </si>
  <si>
    <t>Distribution of Revenue Allocation to State Governments by Federation Account Allocation Committee for the month of May,2021 Shared in June,2021</t>
  </si>
  <si>
    <t>Suko Derivation</t>
  </si>
  <si>
    <r>
      <t xml:space="preserve">*   Other Deductions cover; </t>
    </r>
    <r>
      <rPr>
        <b/>
        <sz val="10"/>
        <rFont val="Times New Roman"/>
        <family val="1"/>
      </rPr>
      <t>National Water Rehabilitation Projects, National Agricultural Technology Support Programme,</t>
    </r>
  </si>
  <si>
    <r>
      <t xml:space="preserve">Source: </t>
    </r>
    <r>
      <rPr>
        <b/>
        <sz val="16"/>
        <rFont val="Times New Roman"/>
        <family val="1"/>
      </rPr>
      <t>Office of the Accountant-General of the Federation</t>
    </r>
  </si>
  <si>
    <t>Ecology Fund</t>
  </si>
  <si>
    <t>Deduction</t>
  </si>
  <si>
    <t>Net VAT</t>
  </si>
  <si>
    <t>Federal Ministry of Finance, Budget &amp; National Planning, Abuja.</t>
  </si>
  <si>
    <t>SOURCE:Office of the Accountant-General of the Federation.</t>
  </si>
  <si>
    <t>(Ecology)Gross Statutory Allocation</t>
  </si>
  <si>
    <t>8(3+4+5+6)</t>
  </si>
  <si>
    <t>(Ecology)Distribution of ₦50 Billion from Non-Oil Excess Account</t>
  </si>
  <si>
    <t>(Ecology)Distribution of ₦20 Billion from Non-Oil Excess Account</t>
  </si>
  <si>
    <t>(Ecology)Distribution of ₦7.940 from Solid Minerals Revenue</t>
  </si>
  <si>
    <t>(Ecology)Exchange Gain Difference</t>
  </si>
  <si>
    <t>Total States</t>
  </si>
  <si>
    <t>Details of Distribution of Ecology Revenue Allocation to States by Federation Account Allocation Committee for the month of May, 2021 Shared in June, 2021</t>
  </si>
  <si>
    <t>s</t>
  </si>
  <si>
    <t>Federal Ministry of Finance, Abuja.</t>
  </si>
  <si>
    <t>Exchange Gain</t>
  </si>
  <si>
    <t>FCT, ABUJA</t>
  </si>
  <si>
    <t>Total LGCs</t>
  </si>
  <si>
    <t xml:space="preserve"> Refund to States being WHT AND STAMP DUTIES ON INDIVIDUALS </t>
  </si>
  <si>
    <t>Hon. Minister of  Finance, Budget and National Planning.</t>
  </si>
  <si>
    <t xml:space="preserve"> Statutory Allocation</t>
  </si>
  <si>
    <t>HYPPADEC</t>
  </si>
  <si>
    <t>Total (States)</t>
  </si>
  <si>
    <t>FCT ABUJA</t>
  </si>
  <si>
    <t>Summary of Distribution of Revenue Allocation to Local Government Councils by Federation Account Allocation Committee for the month of May, 2021 Shared in June, 2021</t>
  </si>
  <si>
    <t>Total Ecology</t>
  </si>
  <si>
    <t>11(3+4+5+6+7+8+9)</t>
  </si>
  <si>
    <t>(Dr) Mrs. Zainab S. Ahmed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</si>
</sst>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20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u/>
      <sz val="14"/>
      <name val="Times New Roman"/>
      <family val="1"/>
    </font>
    <font>
      <b/>
      <u/>
      <sz val="2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6"/>
      <name val="Times New Roman"/>
      <family val="1"/>
    </font>
    <font>
      <b/>
      <u/>
      <sz val="18"/>
      <name val="Times New Roman"/>
      <family val="1"/>
    </font>
    <font>
      <b/>
      <sz val="22"/>
      <name val="Times New Roman"/>
      <family val="1"/>
    </font>
    <font>
      <b/>
      <sz val="16"/>
      <color indexed="8"/>
      <name val="Times New Roman"/>
      <family val="1"/>
    </font>
    <font>
      <b/>
      <sz val="12"/>
      <name val="Times New Roman"/>
      <family val="1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b/>
      <i/>
      <sz val="18"/>
      <name val="Arial"/>
      <family val="2"/>
    </font>
    <font>
      <b/>
      <i/>
      <sz val="16"/>
      <name val="Times New Roman"/>
      <family val="1"/>
    </font>
    <font>
      <b/>
      <sz val="12"/>
      <color indexed="8"/>
      <name val="Times New Roman"/>
      <family val="1"/>
    </font>
    <font>
      <b/>
      <sz val="20"/>
      <name val="Arial"/>
      <family val="2"/>
    </font>
    <font>
      <sz val="20"/>
      <name val="Arial"/>
      <family val="2"/>
    </font>
    <font>
      <b/>
      <sz val="16"/>
      <color theme="9" tint="-0.499984740745262"/>
      <name val="Times New Roman"/>
      <family val="1"/>
    </font>
    <font>
      <sz val="16"/>
      <color theme="9" tint="-0.49998474074526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45">
    <xf numFmtId="0" fontId="0" fillId="0" borderId="0" xfId="0"/>
    <xf numFmtId="164" fontId="0" fillId="0" borderId="0" xfId="0" applyNumberFormat="1"/>
    <xf numFmtId="43" fontId="0" fillId="0" borderId="0" xfId="1" applyFont="1"/>
    <xf numFmtId="0" fontId="0" fillId="2" borderId="0" xfId="0" applyFill="1" applyProtection="1">
      <protection locked="0"/>
    </xf>
    <xf numFmtId="17" fontId="0" fillId="0" borderId="0" xfId="0" applyNumberFormat="1"/>
    <xf numFmtId="17" fontId="3" fillId="2" borderId="0" xfId="0" applyNumberFormat="1" applyFont="1" applyFill="1" applyAlignment="1"/>
    <xf numFmtId="2" fontId="0" fillId="0" borderId="0" xfId="0" applyNumberFormat="1"/>
    <xf numFmtId="0" fontId="6" fillId="0" borderId="0" xfId="0" applyFont="1" applyAlignment="1"/>
    <xf numFmtId="0" fontId="7" fillId="0" borderId="0" xfId="0" applyFont="1"/>
    <xf numFmtId="0" fontId="8" fillId="0" borderId="0" xfId="0" applyFont="1" applyAlignment="1"/>
    <xf numFmtId="0" fontId="9" fillId="0" borderId="0" xfId="0" applyFont="1" applyBorder="1" applyAlignment="1"/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7" fillId="0" borderId="0" xfId="0" applyFont="1" applyBorder="1"/>
    <xf numFmtId="0" fontId="10" fillId="0" borderId="2" xfId="0" applyFont="1" applyBorder="1" applyAlignment="1">
      <alignment horizontal="center"/>
    </xf>
    <xf numFmtId="0" fontId="11" fillId="0" borderId="0" xfId="0" applyFont="1"/>
    <xf numFmtId="164" fontId="11" fillId="0" borderId="0" xfId="0" applyNumberFormat="1" applyFont="1" applyAlignment="1">
      <alignment horizontal="right"/>
    </xf>
    <xf numFmtId="43" fontId="10" fillId="0" borderId="0" xfId="1" applyFont="1" applyAlignment="1">
      <alignment horizontal="center"/>
    </xf>
    <xf numFmtId="43" fontId="10" fillId="0" borderId="0" xfId="1" applyFont="1" applyBorder="1" applyAlignment="1">
      <alignment horizontal="center"/>
    </xf>
    <xf numFmtId="0" fontId="10" fillId="0" borderId="0" xfId="0" applyFont="1" applyAlignment="1">
      <alignment horizontal="right"/>
    </xf>
    <xf numFmtId="43" fontId="7" fillId="0" borderId="0" xfId="0" applyNumberFormat="1" applyFont="1"/>
    <xf numFmtId="0" fontId="13" fillId="0" borderId="0" xfId="0" applyFont="1" applyFill="1" applyBorder="1"/>
    <xf numFmtId="0" fontId="12" fillId="0" borderId="0" xfId="0" applyFont="1"/>
    <xf numFmtId="0" fontId="14" fillId="0" borderId="2" xfId="0" quotePrefix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4" xfId="0" applyFont="1" applyBorder="1" applyAlignment="1"/>
    <xf numFmtId="0" fontId="10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4" fillId="0" borderId="0" xfId="0" quotePrefix="1" applyFont="1" applyBorder="1" applyAlignment="1">
      <alignment horizontal="center"/>
    </xf>
    <xf numFmtId="43" fontId="10" fillId="0" borderId="0" xfId="1" applyFont="1" applyBorder="1" applyAlignment="1"/>
    <xf numFmtId="0" fontId="16" fillId="0" borderId="6" xfId="0" applyFont="1" applyBorder="1" applyAlignment="1">
      <alignment wrapText="1"/>
    </xf>
    <xf numFmtId="0" fontId="16" fillId="0" borderId="2" xfId="0" applyFont="1" applyBorder="1" applyAlignment="1">
      <alignment wrapText="1"/>
    </xf>
    <xf numFmtId="43" fontId="14" fillId="0" borderId="2" xfId="1" applyFont="1" applyBorder="1" applyAlignment="1"/>
    <xf numFmtId="0" fontId="16" fillId="0" borderId="2" xfId="0" applyFont="1" applyBorder="1"/>
    <xf numFmtId="43" fontId="14" fillId="0" borderId="6" xfId="1" applyFont="1" applyBorder="1" applyAlignment="1"/>
    <xf numFmtId="43" fontId="14" fillId="0" borderId="2" xfId="1" applyFont="1" applyBorder="1" applyAlignment="1">
      <alignment horizontal="center"/>
    </xf>
    <xf numFmtId="0" fontId="14" fillId="0" borderId="2" xfId="0" applyFont="1" applyBorder="1"/>
    <xf numFmtId="43" fontId="19" fillId="0" borderId="1" xfId="1" applyFont="1" applyFill="1" applyBorder="1" applyAlignment="1">
      <alignment horizontal="right" wrapText="1"/>
    </xf>
    <xf numFmtId="43" fontId="14" fillId="0" borderId="12" xfId="1" applyFont="1" applyBorder="1" applyAlignment="1"/>
    <xf numFmtId="43" fontId="14" fillId="0" borderId="8" xfId="1" applyFont="1" applyBorder="1" applyAlignment="1"/>
    <xf numFmtId="0" fontId="5" fillId="0" borderId="0" xfId="0" applyFont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9" xfId="0" applyFont="1" applyFill="1" applyBorder="1" applyAlignment="1">
      <alignment horizontal="center" wrapText="1"/>
    </xf>
    <xf numFmtId="0" fontId="16" fillId="0" borderId="0" xfId="0" applyFont="1"/>
    <xf numFmtId="0" fontId="16" fillId="0" borderId="2" xfId="0" applyFont="1" applyBorder="1" applyAlignment="1"/>
    <xf numFmtId="43" fontId="16" fillId="0" borderId="7" xfId="1" applyFont="1" applyBorder="1"/>
    <xf numFmtId="43" fontId="16" fillId="0" borderId="2" xfId="1" applyFont="1" applyBorder="1"/>
    <xf numFmtId="0" fontId="14" fillId="3" borderId="6" xfId="0" applyFont="1" applyFill="1" applyBorder="1" applyAlignment="1"/>
    <xf numFmtId="43" fontId="16" fillId="0" borderId="9" xfId="1" applyFont="1" applyBorder="1"/>
    <xf numFmtId="43" fontId="14" fillId="3" borderId="2" xfId="1" applyFont="1" applyFill="1" applyBorder="1"/>
    <xf numFmtId="0" fontId="10" fillId="0" borderId="2" xfId="0" quotePrefix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2" xfId="0" applyFont="1" applyBorder="1"/>
    <xf numFmtId="39" fontId="7" fillId="0" borderId="2" xfId="0" applyNumberFormat="1" applyFont="1" applyBorder="1"/>
    <xf numFmtId="37" fontId="7" fillId="0" borderId="2" xfId="0" applyNumberFormat="1" applyFont="1" applyBorder="1" applyAlignment="1">
      <alignment horizontal="center"/>
    </xf>
    <xf numFmtId="43" fontId="7" fillId="0" borderId="2" xfId="1" applyFont="1" applyBorder="1"/>
    <xf numFmtId="43" fontId="7" fillId="0" borderId="2" xfId="0" applyNumberFormat="1" applyFont="1" applyBorder="1"/>
    <xf numFmtId="40" fontId="7" fillId="0" borderId="2" xfId="0" applyNumberFormat="1" applyFont="1" applyBorder="1"/>
    <xf numFmtId="43" fontId="12" fillId="0" borderId="2" xfId="0" applyNumberFormat="1" applyFont="1" applyBorder="1"/>
    <xf numFmtId="43" fontId="12" fillId="0" borderId="3" xfId="0" applyNumberFormat="1" applyFont="1" applyBorder="1"/>
    <xf numFmtId="43" fontId="7" fillId="0" borderId="3" xfId="1" applyFont="1" applyBorder="1"/>
    <xf numFmtId="0" fontId="7" fillId="0" borderId="2" xfId="0" applyFont="1" applyBorder="1" applyAlignment="1">
      <alignment horizontal="center"/>
    </xf>
    <xf numFmtId="43" fontId="12" fillId="0" borderId="5" xfId="1" applyFont="1" applyBorder="1"/>
    <xf numFmtId="164" fontId="7" fillId="0" borderId="0" xfId="0" applyNumberFormat="1" applyFont="1"/>
    <xf numFmtId="0" fontId="7" fillId="0" borderId="0" xfId="0" applyFont="1" applyAlignment="1">
      <alignment horizontal="right"/>
    </xf>
    <xf numFmtId="0" fontId="16" fillId="0" borderId="0" xfId="0" applyFont="1" applyFill="1" applyBorder="1"/>
    <xf numFmtId="0" fontId="10" fillId="0" borderId="2" xfId="0" applyFont="1" applyBorder="1" applyAlignment="1">
      <alignment horizontal="center" wrapText="1"/>
    </xf>
    <xf numFmtId="165" fontId="23" fillId="0" borderId="2" xfId="1" applyNumberFormat="1" applyFont="1" applyBorder="1" applyAlignment="1">
      <alignment horizontal="left"/>
    </xf>
    <xf numFmtId="165" fontId="23" fillId="0" borderId="2" xfId="1" applyNumberFormat="1" applyFont="1" applyBorder="1" applyAlignment="1">
      <alignment horizontal="left" vertical="top"/>
    </xf>
    <xf numFmtId="43" fontId="23" fillId="0" borderId="2" xfId="1" applyFont="1" applyBorder="1" applyAlignment="1">
      <alignment horizontal="left" vertical="top"/>
    </xf>
    <xf numFmtId="43" fontId="23" fillId="0" borderId="2" xfId="1" applyFont="1" applyBorder="1" applyAlignment="1">
      <alignment horizontal="center"/>
    </xf>
    <xf numFmtId="43" fontId="24" fillId="0" borderId="2" xfId="1" applyFont="1" applyBorder="1"/>
    <xf numFmtId="43" fontId="24" fillId="0" borderId="2" xfId="1" applyFont="1" applyBorder="1" applyAlignment="1">
      <alignment wrapText="1"/>
    </xf>
    <xf numFmtId="43" fontId="24" fillId="0" borderId="2" xfId="1" applyFont="1" applyBorder="1" applyAlignment="1">
      <alignment horizontal="center" wrapText="1"/>
    </xf>
    <xf numFmtId="0" fontId="20" fillId="0" borderId="6" xfId="0" applyFont="1" applyBorder="1" applyAlignment="1">
      <alignment horizontal="center" wrapText="1"/>
    </xf>
    <xf numFmtId="43" fontId="11" fillId="0" borderId="2" xfId="1" applyFont="1" applyBorder="1"/>
    <xf numFmtId="0" fontId="20" fillId="0" borderId="6" xfId="0" quotePrefix="1" applyFont="1" applyBorder="1" applyAlignment="1">
      <alignment horizontal="center"/>
    </xf>
    <xf numFmtId="165" fontId="11" fillId="0" borderId="2" xfId="1" applyNumberFormat="1" applyFont="1" applyBorder="1" applyAlignment="1">
      <alignment horizontal="left"/>
    </xf>
    <xf numFmtId="165" fontId="11" fillId="0" borderId="2" xfId="1" applyNumberFormat="1" applyFont="1" applyBorder="1"/>
    <xf numFmtId="43" fontId="23" fillId="0" borderId="2" xfId="1" applyFont="1" applyBorder="1"/>
    <xf numFmtId="43" fontId="10" fillId="0" borderId="2" xfId="1" applyFont="1" applyBorder="1"/>
    <xf numFmtId="43" fontId="7" fillId="0" borderId="2" xfId="1" applyFont="1" applyBorder="1" applyAlignment="1">
      <alignment horizontal="left"/>
    </xf>
    <xf numFmtId="43" fontId="24" fillId="0" borderId="2" xfId="1" applyFont="1" applyBorder="1" applyAlignment="1">
      <alignment horizontal="center"/>
    </xf>
    <xf numFmtId="43" fontId="20" fillId="0" borderId="2" xfId="1" applyFont="1" applyBorder="1"/>
    <xf numFmtId="0" fontId="27" fillId="4" borderId="16" xfId="2" applyFont="1" applyFill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43" fontId="23" fillId="0" borderId="2" xfId="1" applyFont="1" applyBorder="1" applyAlignment="1">
      <alignment horizontal="left" vertical="top" wrapText="1"/>
    </xf>
    <xf numFmtId="0" fontId="7" fillId="0" borderId="2" xfId="0" applyFont="1" applyBorder="1" applyAlignment="1">
      <alignment horizontal="left"/>
    </xf>
    <xf numFmtId="43" fontId="14" fillId="0" borderId="0" xfId="0" quotePrefix="1" applyNumberFormat="1" applyFont="1" applyBorder="1" applyAlignment="1">
      <alignment horizontal="center"/>
    </xf>
    <xf numFmtId="43" fontId="7" fillId="0" borderId="9" xfId="1" applyFont="1" applyBorder="1"/>
    <xf numFmtId="43" fontId="7" fillId="0" borderId="9" xfId="0" applyNumberFormat="1" applyFont="1" applyBorder="1"/>
    <xf numFmtId="40" fontId="7" fillId="0" borderId="9" xfId="0" applyNumberFormat="1" applyFont="1" applyBorder="1"/>
    <xf numFmtId="43" fontId="12" fillId="0" borderId="9" xfId="0" applyNumberFormat="1" applyFont="1" applyBorder="1"/>
    <xf numFmtId="43" fontId="12" fillId="0" borderId="17" xfId="0" applyNumberFormat="1" applyFont="1" applyBorder="1"/>
    <xf numFmtId="0" fontId="7" fillId="0" borderId="2" xfId="0" applyFont="1" applyBorder="1" applyAlignment="1"/>
    <xf numFmtId="43" fontId="7" fillId="0" borderId="0" xfId="1" applyFont="1"/>
    <xf numFmtId="43" fontId="0" fillId="0" borderId="0" xfId="0" applyNumberFormat="1"/>
    <xf numFmtId="0" fontId="27" fillId="4" borderId="0" xfId="2" applyFont="1" applyFill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14" fillId="0" borderId="0" xfId="0" applyFont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0" fillId="0" borderId="6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10" fillId="0" borderId="6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25" fillId="0" borderId="0" xfId="0" applyFont="1" applyAlignment="1">
      <alignment horizontal="left" wrapText="1"/>
    </xf>
    <xf numFmtId="0" fontId="21" fillId="0" borderId="10" xfId="0" applyFont="1" applyBorder="1" applyAlignment="1">
      <alignment horizontal="center"/>
    </xf>
    <xf numFmtId="43" fontId="22" fillId="0" borderId="6" xfId="1" applyFont="1" applyBorder="1" applyAlignment="1">
      <alignment horizontal="center"/>
    </xf>
    <xf numFmtId="43" fontId="22" fillId="0" borderId="14" xfId="1" applyFont="1" applyBorder="1" applyAlignment="1">
      <alignment horizontal="center"/>
    </xf>
    <xf numFmtId="43" fontId="22" fillId="0" borderId="3" xfId="1" applyFont="1" applyBorder="1" applyAlignment="1">
      <alignment horizontal="center"/>
    </xf>
    <xf numFmtId="0" fontId="23" fillId="0" borderId="2" xfId="0" applyFont="1" applyBorder="1" applyAlignment="1">
      <alignment horizontal="center" wrapText="1"/>
    </xf>
    <xf numFmtId="165" fontId="11" fillId="0" borderId="2" xfId="1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6" fillId="0" borderId="2" xfId="0" applyFont="1" applyBorder="1" applyAlignment="1">
      <alignment horizontal="center" wrapText="1"/>
    </xf>
    <xf numFmtId="43" fontId="20" fillId="0" borderId="0" xfId="0" applyNumberFormat="1" applyFont="1"/>
    <xf numFmtId="0" fontId="30" fillId="0" borderId="6" xfId="0" applyFont="1" applyBorder="1" applyAlignment="1">
      <alignment horizontal="center" wrapText="1"/>
    </xf>
    <xf numFmtId="0" fontId="30" fillId="0" borderId="2" xfId="0" quotePrefix="1" applyFont="1" applyBorder="1" applyAlignment="1">
      <alignment horizontal="center"/>
    </xf>
    <xf numFmtId="43" fontId="30" fillId="0" borderId="6" xfId="1" applyFont="1" applyBorder="1" applyAlignment="1"/>
    <xf numFmtId="43" fontId="30" fillId="0" borderId="13" xfId="1" applyFont="1" applyBorder="1" applyAlignment="1"/>
    <xf numFmtId="43" fontId="30" fillId="3" borderId="6" xfId="1" applyFont="1" applyFill="1" applyBorder="1" applyAlignment="1"/>
    <xf numFmtId="43" fontId="30" fillId="0" borderId="2" xfId="1" applyFont="1" applyBorder="1" applyAlignment="1"/>
    <xf numFmtId="43" fontId="30" fillId="0" borderId="12" xfId="1" applyFont="1" applyBorder="1" applyAlignment="1"/>
    <xf numFmtId="43" fontId="30" fillId="0" borderId="8" xfId="1" applyFont="1" applyBorder="1" applyAlignment="1"/>
    <xf numFmtId="43" fontId="31" fillId="0" borderId="7" xfId="1" applyFont="1" applyBorder="1"/>
    <xf numFmtId="43" fontId="31" fillId="0" borderId="2" xfId="1" applyFont="1" applyBorder="1"/>
    <xf numFmtId="43" fontId="31" fillId="0" borderId="9" xfId="1" applyFont="1" applyBorder="1"/>
    <xf numFmtId="43" fontId="30" fillId="3" borderId="2" xfId="1" applyFont="1" applyFill="1" applyBorder="1"/>
    <xf numFmtId="43" fontId="14" fillId="0" borderId="0" xfId="0" applyNumberFormat="1" applyFont="1"/>
  </cellXfs>
  <cellStyles count="3">
    <cellStyle name="Comma" xfId="1" builtinId="3"/>
    <cellStyle name="Normal" xfId="0" builtinId="0"/>
    <cellStyle name="Normal_TOTALDATA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3.2" x14ac:dyDescent="0.25"/>
  <cols>
    <col min="2" max="2" width="23" bestFit="1" customWidth="1"/>
    <col min="6" max="6" width="24.5546875" customWidth="1"/>
  </cols>
  <sheetData>
    <row r="1" spans="1:8" ht="23.1" customHeight="1" x14ac:dyDescent="0.25">
      <c r="B1">
        <f ca="1">MONTH(NOW())</f>
        <v>2</v>
      </c>
      <c r="C1">
        <f ca="1">YEAR(NOW())</f>
        <v>2022</v>
      </c>
    </row>
    <row r="2" spans="1:8" ht="23.1" customHeight="1" x14ac:dyDescent="0.25"/>
    <row r="3" spans="1:8" ht="23.1" customHeight="1" x14ac:dyDescent="0.25">
      <c r="B3" t="s">
        <v>79</v>
      </c>
      <c r="F3" t="s">
        <v>80</v>
      </c>
    </row>
    <row r="4" spans="1:8" ht="23.1" customHeight="1" x14ac:dyDescent="0.25">
      <c r="B4" t="s">
        <v>76</v>
      </c>
      <c r="C4" t="s">
        <v>77</v>
      </c>
      <c r="D4" t="s">
        <v>78</v>
      </c>
      <c r="F4" t="s">
        <v>76</v>
      </c>
      <c r="G4" t="s">
        <v>77</v>
      </c>
      <c r="H4" t="s">
        <v>78</v>
      </c>
    </row>
    <row r="5" spans="1:8" ht="23.1" customHeight="1" x14ac:dyDescent="0.25">
      <c r="B5" s="3" t="e">
        <f>IF(G5=1,F5-1,F5)</f>
        <v>#REF!</v>
      </c>
      <c r="C5" s="3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4">
      <c r="B6" s="5" t="e">
        <f>LOOKUP(C5,A8:B19)</f>
        <v>#REF!</v>
      </c>
      <c r="F6" s="5" t="e">
        <f>IF(G5=1,LOOKUP(G5,E8:F19),LOOKUP(G5,A8:B19))</f>
        <v>#REF!</v>
      </c>
    </row>
    <row r="8" spans="1:8" x14ac:dyDescent="0.25">
      <c r="A8">
        <v>1</v>
      </c>
      <c r="B8" s="6" t="e">
        <f>D8&amp;"-"&amp;RIGHT(B$5,2)</f>
        <v>#REF!</v>
      </c>
      <c r="D8" s="4" t="s">
        <v>89</v>
      </c>
      <c r="E8">
        <v>1</v>
      </c>
      <c r="F8" s="6" t="e">
        <f>D8&amp;"-"&amp;RIGHT(F$5,2)</f>
        <v>#REF!</v>
      </c>
    </row>
    <row r="9" spans="1:8" x14ac:dyDescent="0.25">
      <c r="A9">
        <v>2</v>
      </c>
      <c r="B9" s="6" t="e">
        <f t="shared" ref="B9:B19" si="0">D9&amp;"-"&amp;RIGHT(B$5,2)</f>
        <v>#REF!</v>
      </c>
      <c r="D9" s="4" t="s">
        <v>90</v>
      </c>
      <c r="E9">
        <v>2</v>
      </c>
      <c r="F9" s="6" t="e">
        <f t="shared" ref="F9:F19" si="1">D9&amp;"-"&amp;RIGHT(F$5,2)</f>
        <v>#REF!</v>
      </c>
    </row>
    <row r="10" spans="1:8" x14ac:dyDescent="0.25">
      <c r="A10">
        <v>3</v>
      </c>
      <c r="B10" s="6" t="e">
        <f t="shared" si="0"/>
        <v>#REF!</v>
      </c>
      <c r="D10" s="4" t="s">
        <v>91</v>
      </c>
      <c r="E10">
        <v>3</v>
      </c>
      <c r="F10" s="6" t="e">
        <f t="shared" si="1"/>
        <v>#REF!</v>
      </c>
    </row>
    <row r="11" spans="1:8" x14ac:dyDescent="0.25">
      <c r="A11">
        <v>4</v>
      </c>
      <c r="B11" s="6" t="e">
        <f t="shared" si="0"/>
        <v>#REF!</v>
      </c>
      <c r="D11" s="4" t="s">
        <v>92</v>
      </c>
      <c r="E11">
        <v>4</v>
      </c>
      <c r="F11" s="6" t="e">
        <f t="shared" si="1"/>
        <v>#REF!</v>
      </c>
    </row>
    <row r="12" spans="1:8" x14ac:dyDescent="0.25">
      <c r="A12">
        <v>5</v>
      </c>
      <c r="B12" s="6" t="e">
        <f t="shared" si="0"/>
        <v>#REF!</v>
      </c>
      <c r="D12" s="4" t="s">
        <v>81</v>
      </c>
      <c r="E12">
        <v>5</v>
      </c>
      <c r="F12" s="6" t="e">
        <f t="shared" si="1"/>
        <v>#REF!</v>
      </c>
    </row>
    <row r="13" spans="1:8" x14ac:dyDescent="0.25">
      <c r="A13">
        <v>6</v>
      </c>
      <c r="B13" s="6" t="e">
        <f t="shared" si="0"/>
        <v>#REF!</v>
      </c>
      <c r="D13" s="4" t="s">
        <v>82</v>
      </c>
      <c r="E13">
        <v>6</v>
      </c>
      <c r="F13" s="6" t="e">
        <f t="shared" si="1"/>
        <v>#REF!</v>
      </c>
    </row>
    <row r="14" spans="1:8" x14ac:dyDescent="0.25">
      <c r="A14">
        <v>7</v>
      </c>
      <c r="B14" s="6" t="e">
        <f t="shared" si="0"/>
        <v>#REF!</v>
      </c>
      <c r="D14" s="4" t="s">
        <v>83</v>
      </c>
      <c r="E14">
        <v>7</v>
      </c>
      <c r="F14" s="6" t="e">
        <f t="shared" si="1"/>
        <v>#REF!</v>
      </c>
    </row>
    <row r="15" spans="1:8" x14ac:dyDescent="0.25">
      <c r="A15">
        <v>8</v>
      </c>
      <c r="B15" s="6" t="e">
        <f t="shared" si="0"/>
        <v>#REF!</v>
      </c>
      <c r="D15" s="4" t="s">
        <v>84</v>
      </c>
      <c r="E15">
        <v>8</v>
      </c>
      <c r="F15" s="6" t="e">
        <f t="shared" si="1"/>
        <v>#REF!</v>
      </c>
    </row>
    <row r="16" spans="1:8" x14ac:dyDescent="0.25">
      <c r="A16">
        <v>9</v>
      </c>
      <c r="B16" s="6" t="e">
        <f t="shared" si="0"/>
        <v>#REF!</v>
      </c>
      <c r="D16" s="4" t="s">
        <v>85</v>
      </c>
      <c r="E16">
        <v>9</v>
      </c>
      <c r="F16" s="6" t="e">
        <f t="shared" si="1"/>
        <v>#REF!</v>
      </c>
    </row>
    <row r="17" spans="1:6" x14ac:dyDescent="0.25">
      <c r="A17">
        <v>10</v>
      </c>
      <c r="B17" s="6" t="e">
        <f t="shared" si="0"/>
        <v>#REF!</v>
      </c>
      <c r="D17" s="4" t="s">
        <v>86</v>
      </c>
      <c r="E17">
        <v>10</v>
      </c>
      <c r="F17" s="6" t="e">
        <f t="shared" si="1"/>
        <v>#REF!</v>
      </c>
    </row>
    <row r="18" spans="1:6" x14ac:dyDescent="0.25">
      <c r="A18">
        <v>11</v>
      </c>
      <c r="B18" s="6" t="e">
        <f t="shared" si="0"/>
        <v>#REF!</v>
      </c>
      <c r="D18" s="4" t="s">
        <v>87</v>
      </c>
      <c r="E18">
        <v>11</v>
      </c>
      <c r="F18" s="6" t="e">
        <f t="shared" si="1"/>
        <v>#REF!</v>
      </c>
    </row>
    <row r="19" spans="1:6" x14ac:dyDescent="0.25">
      <c r="A19">
        <v>12</v>
      </c>
      <c r="B19" s="6" t="e">
        <f t="shared" si="0"/>
        <v>#REF!</v>
      </c>
      <c r="D19" s="4" t="s">
        <v>88</v>
      </c>
      <c r="E19">
        <v>12</v>
      </c>
      <c r="F19" s="6" t="e">
        <f t="shared" si="1"/>
        <v>#REF!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Q43"/>
  <sheetViews>
    <sheetView topLeftCell="B14" zoomScale="55" zoomScaleNormal="55" workbookViewId="0">
      <selection activeCell="A23" sqref="A23:K33"/>
    </sheetView>
  </sheetViews>
  <sheetFormatPr defaultColWidth="9.109375" defaultRowHeight="13.2" x14ac:dyDescent="0.25"/>
  <cols>
    <col min="1" max="1" width="6.33203125" style="8" customWidth="1"/>
    <col min="2" max="2" width="40.88671875" style="8" customWidth="1"/>
    <col min="3" max="3" width="32.5546875" style="8" customWidth="1"/>
    <col min="4" max="4" width="31.88671875" style="8" customWidth="1"/>
    <col min="5" max="5" width="30.88671875" style="8" customWidth="1"/>
    <col min="6" max="6" width="27.5546875" style="8" customWidth="1"/>
    <col min="7" max="7" width="28.77734375" style="8" customWidth="1"/>
    <col min="8" max="9" width="30" style="8" bestFit="1" customWidth="1"/>
    <col min="10" max="10" width="29.88671875" style="8" customWidth="1"/>
    <col min="11" max="11" width="31.5546875" style="8" customWidth="1"/>
    <col min="12" max="12" width="32.44140625" style="8" customWidth="1"/>
    <col min="13" max="13" width="15.21875" style="8" customWidth="1"/>
    <col min="14" max="14" width="10.21875" style="8" customWidth="1"/>
    <col min="15" max="15" width="7.6640625" style="8" customWidth="1"/>
    <col min="16" max="16384" width="9.109375" style="8"/>
  </cols>
  <sheetData>
    <row r="1" spans="1:17" ht="36" customHeight="1" x14ac:dyDescent="0.45">
      <c r="A1" s="101" t="s">
        <v>99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7" ht="24.6" x14ac:dyDescent="0.4">
      <c r="A2" s="105" t="s">
        <v>30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7"/>
      <c r="M2" s="7"/>
      <c r="P2" s="7"/>
      <c r="Q2" s="7"/>
    </row>
    <row r="3" spans="1:17" ht="36.75" customHeight="1" x14ac:dyDescent="0.4">
      <c r="A3" s="104" t="s">
        <v>98</v>
      </c>
      <c r="B3" s="104"/>
      <c r="C3" s="104"/>
      <c r="D3" s="104"/>
      <c r="E3" s="104"/>
      <c r="F3" s="104"/>
      <c r="G3" s="104"/>
      <c r="H3" s="104"/>
      <c r="I3" s="104"/>
      <c r="J3" s="9"/>
      <c r="K3" s="9"/>
      <c r="L3" s="10"/>
      <c r="M3" s="10"/>
      <c r="N3" s="10"/>
      <c r="O3" s="10"/>
      <c r="P3" s="10"/>
      <c r="Q3" s="10"/>
    </row>
    <row r="4" spans="1:17" ht="20.25" customHeight="1" x14ac:dyDescent="0.3">
      <c r="C4" s="11"/>
      <c r="D4" s="12"/>
      <c r="E4" s="12"/>
      <c r="F4" s="12"/>
      <c r="G4" s="12"/>
      <c r="H4" s="13"/>
      <c r="I4" s="28"/>
      <c r="J4" s="14"/>
      <c r="K4" s="14"/>
    </row>
    <row r="5" spans="1:17" ht="78" customHeight="1" x14ac:dyDescent="0.35">
      <c r="A5" s="27" t="s">
        <v>0</v>
      </c>
      <c r="B5" s="27" t="s">
        <v>20</v>
      </c>
      <c r="C5" s="25" t="s">
        <v>15</v>
      </c>
      <c r="D5" s="132" t="s">
        <v>103</v>
      </c>
      <c r="E5" s="132" t="s">
        <v>102</v>
      </c>
      <c r="F5" s="132" t="s">
        <v>101</v>
      </c>
      <c r="G5" s="132" t="s">
        <v>36</v>
      </c>
      <c r="H5" s="26" t="s">
        <v>25</v>
      </c>
      <c r="I5" s="26" t="s">
        <v>16</v>
      </c>
      <c r="J5" s="29"/>
      <c r="K5" s="30"/>
    </row>
    <row r="6" spans="1:17" ht="30" customHeight="1" x14ac:dyDescent="0.35">
      <c r="A6" s="15"/>
      <c r="B6" s="15"/>
      <c r="C6" s="24" t="s">
        <v>100</v>
      </c>
      <c r="D6" s="133" t="s">
        <v>100</v>
      </c>
      <c r="E6" s="133" t="s">
        <v>100</v>
      </c>
      <c r="F6" s="133" t="s">
        <v>100</v>
      </c>
      <c r="G6" s="133" t="s">
        <v>100</v>
      </c>
      <c r="H6" s="24" t="s">
        <v>100</v>
      </c>
      <c r="I6" s="24" t="s">
        <v>100</v>
      </c>
      <c r="J6" s="31"/>
      <c r="K6" s="91"/>
    </row>
    <row r="7" spans="1:17" ht="30" customHeight="1" x14ac:dyDescent="0.4">
      <c r="A7" s="36">
        <v>1</v>
      </c>
      <c r="B7" s="36" t="s">
        <v>21</v>
      </c>
      <c r="C7" s="37">
        <v>175541099043.7442</v>
      </c>
      <c r="D7" s="134">
        <v>26340000000</v>
      </c>
      <c r="E7" s="134">
        <v>10536000000</v>
      </c>
      <c r="F7" s="135">
        <v>3639048520.882</v>
      </c>
      <c r="G7" s="135">
        <v>803193572.47819996</v>
      </c>
      <c r="H7" s="37">
        <v>25260364025.050499</v>
      </c>
      <c r="I7" s="38">
        <f>SUM(C7:H7)</f>
        <v>242119705162.15491</v>
      </c>
      <c r="J7" s="32">
        <f>C7/1000000000</f>
        <v>175.5410990437442</v>
      </c>
      <c r="K7" s="19">
        <f>SUM(D7:G7)/1000000000</f>
        <v>41.318242093360205</v>
      </c>
      <c r="L7" s="131">
        <f>H7/1000000000</f>
        <v>25.260364025050499</v>
      </c>
      <c r="M7" s="131">
        <f>I7/1000000000</f>
        <v>242.1197051621549</v>
      </c>
      <c r="N7" s="21"/>
      <c r="O7" s="21"/>
      <c r="P7" s="21"/>
    </row>
    <row r="8" spans="1:17" ht="21" x14ac:dyDescent="0.4">
      <c r="A8" s="36">
        <v>2</v>
      </c>
      <c r="B8" s="36" t="s">
        <v>27</v>
      </c>
      <c r="C8" s="37">
        <v>89036791314.518707</v>
      </c>
      <c r="D8" s="134">
        <v>13360000000</v>
      </c>
      <c r="E8" s="134">
        <v>5344000000</v>
      </c>
      <c r="F8" s="134">
        <v>1845774040.96</v>
      </c>
      <c r="G8" s="134">
        <f>396412924.91+10977588.69</f>
        <v>407390513.60000002</v>
      </c>
      <c r="H8" s="37">
        <v>84201213416.835007</v>
      </c>
      <c r="I8" s="38">
        <f>SUM(C8:H8)</f>
        <v>194195169285.91373</v>
      </c>
      <c r="J8" s="32">
        <f t="shared" ref="J8:J20" si="0">C8/1000000000</f>
        <v>89.036791314518709</v>
      </c>
      <c r="K8" s="19">
        <f t="shared" ref="K8:K20" si="1">SUM(D8:G8)/1000000000</f>
        <v>20.957164554559998</v>
      </c>
      <c r="L8" s="131">
        <f t="shared" ref="L8:L20" si="2">H8/1000000000</f>
        <v>84.201213416835003</v>
      </c>
      <c r="M8" s="131">
        <f t="shared" ref="M8:M20" si="3">I8/1000000000</f>
        <v>194.19516928591372</v>
      </c>
      <c r="N8" s="21"/>
      <c r="O8" s="21"/>
      <c r="P8" s="21"/>
    </row>
    <row r="9" spans="1:17" ht="21" x14ac:dyDescent="0.4">
      <c r="A9" s="36">
        <v>3</v>
      </c>
      <c r="B9" s="36" t="s">
        <v>28</v>
      </c>
      <c r="C9" s="37">
        <v>68643634022.420898</v>
      </c>
      <c r="D9" s="136">
        <v>10300000000</v>
      </c>
      <c r="E9" s="136">
        <v>4120000000</v>
      </c>
      <c r="F9" s="136">
        <v>1423014417.8099999</v>
      </c>
      <c r="G9" s="134">
        <f>304933019.16+9147990.57</f>
        <v>314081009.73000002</v>
      </c>
      <c r="H9" s="37">
        <v>58940849391.7845</v>
      </c>
      <c r="I9" s="38">
        <f>SUM(C9:H9)</f>
        <v>143741578841.74539</v>
      </c>
      <c r="J9" s="32">
        <f t="shared" si="0"/>
        <v>68.643634022420898</v>
      </c>
      <c r="K9" s="19">
        <f t="shared" si="1"/>
        <v>16.15709542754</v>
      </c>
      <c r="L9" s="131">
        <f t="shared" si="2"/>
        <v>58.940849391784504</v>
      </c>
      <c r="M9" s="131">
        <f t="shared" si="3"/>
        <v>143.74157884174539</v>
      </c>
      <c r="N9" s="21"/>
      <c r="O9" s="21"/>
      <c r="P9" s="21"/>
    </row>
    <row r="10" spans="1:17" ht="21" x14ac:dyDescent="0.4">
      <c r="A10" s="36">
        <v>4</v>
      </c>
      <c r="B10" s="36" t="s">
        <v>17</v>
      </c>
      <c r="C10" s="37">
        <v>24666160491.506302</v>
      </c>
      <c r="D10" s="134">
        <v>0</v>
      </c>
      <c r="E10" s="134">
        <v>0</v>
      </c>
      <c r="F10" s="136">
        <v>1032205525.6955</v>
      </c>
      <c r="G10" s="134">
        <v>203250023.38999999</v>
      </c>
      <c r="H10" s="37">
        <v>0</v>
      </c>
      <c r="I10" s="38">
        <f>SUM(C10:H10)</f>
        <v>25901616040.591801</v>
      </c>
      <c r="J10" s="32">
        <f t="shared" si="0"/>
        <v>24.6661604915063</v>
      </c>
      <c r="K10" s="19">
        <f t="shared" si="1"/>
        <v>1.2354555490854999</v>
      </c>
      <c r="L10" s="131">
        <f t="shared" si="2"/>
        <v>0</v>
      </c>
      <c r="M10" s="131">
        <f t="shared" si="3"/>
        <v>25.901616040591801</v>
      </c>
      <c r="N10" s="21"/>
      <c r="O10" s="21"/>
      <c r="P10" s="21"/>
    </row>
    <row r="11" spans="1:17" ht="21" x14ac:dyDescent="0.4">
      <c r="A11" s="36">
        <v>5</v>
      </c>
      <c r="B11" s="36" t="s">
        <v>38</v>
      </c>
      <c r="C11" s="40">
        <v>7196488214.5</v>
      </c>
      <c r="D11" s="134">
        <v>0</v>
      </c>
      <c r="E11" s="134">
        <v>0</v>
      </c>
      <c r="F11" s="134">
        <v>0</v>
      </c>
      <c r="G11" s="134">
        <v>0</v>
      </c>
      <c r="H11" s="37">
        <v>812355341.59000003</v>
      </c>
      <c r="I11" s="38">
        <f t="shared" ref="I11:I19" si="4">SUM(C11:H11)</f>
        <v>8008843556.0900002</v>
      </c>
      <c r="J11" s="32">
        <f t="shared" si="0"/>
        <v>7.1964882145000004</v>
      </c>
      <c r="K11" s="19">
        <f t="shared" si="1"/>
        <v>0</v>
      </c>
      <c r="L11" s="131">
        <f t="shared" si="2"/>
        <v>0.81235534159</v>
      </c>
      <c r="M11" s="131">
        <f t="shared" si="3"/>
        <v>8.0088435560899995</v>
      </c>
      <c r="N11" s="21"/>
      <c r="O11" s="21"/>
      <c r="P11" s="21"/>
    </row>
    <row r="12" spans="1:17" ht="21" x14ac:dyDescent="0.4">
      <c r="A12" s="36">
        <v>6</v>
      </c>
      <c r="B12" s="34" t="s">
        <v>104</v>
      </c>
      <c r="C12" s="37">
        <v>4895981925.1499996</v>
      </c>
      <c r="D12" s="134">
        <v>0</v>
      </c>
      <c r="E12" s="134">
        <v>0</v>
      </c>
      <c r="F12" s="134">
        <v>0</v>
      </c>
      <c r="G12" s="134">
        <v>0</v>
      </c>
      <c r="H12" s="37">
        <v>6430759791.04</v>
      </c>
      <c r="I12" s="38">
        <f t="shared" si="4"/>
        <v>11326741716.189999</v>
      </c>
      <c r="J12" s="32">
        <f t="shared" si="0"/>
        <v>4.8959819251499992</v>
      </c>
      <c r="K12" s="19">
        <f t="shared" si="1"/>
        <v>0</v>
      </c>
      <c r="L12" s="131">
        <f t="shared" si="2"/>
        <v>6.4307597910399998</v>
      </c>
      <c r="M12" s="131">
        <f t="shared" si="3"/>
        <v>11.326741716189998</v>
      </c>
      <c r="N12" s="21"/>
      <c r="O12" s="21"/>
      <c r="P12" s="21"/>
    </row>
    <row r="13" spans="1:17" ht="21" x14ac:dyDescent="0.4">
      <c r="A13" s="36">
        <v>7</v>
      </c>
      <c r="B13" s="34" t="s">
        <v>105</v>
      </c>
      <c r="C13" s="37">
        <v>5310845763.0100002</v>
      </c>
      <c r="D13" s="134">
        <v>0</v>
      </c>
      <c r="E13" s="134">
        <v>0</v>
      </c>
      <c r="F13" s="134">
        <v>0</v>
      </c>
      <c r="G13" s="134">
        <v>0</v>
      </c>
      <c r="H13" s="37">
        <v>0</v>
      </c>
      <c r="I13" s="38">
        <f t="shared" si="4"/>
        <v>5310845763.0100002</v>
      </c>
      <c r="J13" s="32">
        <f t="shared" si="0"/>
        <v>5.3108457630100006</v>
      </c>
      <c r="K13" s="19">
        <f t="shared" si="1"/>
        <v>0</v>
      </c>
      <c r="L13" s="131">
        <f t="shared" si="2"/>
        <v>0</v>
      </c>
      <c r="M13" s="131">
        <f t="shared" si="3"/>
        <v>5.3108457630100006</v>
      </c>
      <c r="N13" s="21"/>
      <c r="O13" s="21"/>
      <c r="P13" s="21"/>
    </row>
    <row r="14" spans="1:17" ht="21" x14ac:dyDescent="0.4">
      <c r="A14" s="36">
        <v>8</v>
      </c>
      <c r="B14" s="33" t="s">
        <v>108</v>
      </c>
      <c r="C14" s="35">
        <v>1000000000</v>
      </c>
      <c r="D14" s="134"/>
      <c r="E14" s="134"/>
      <c r="F14" s="134">
        <v>0</v>
      </c>
      <c r="G14" s="134">
        <v>0</v>
      </c>
      <c r="H14" s="37">
        <v>0</v>
      </c>
      <c r="I14" s="38">
        <f t="shared" si="4"/>
        <v>1000000000</v>
      </c>
      <c r="J14" s="32">
        <f t="shared" si="0"/>
        <v>1</v>
      </c>
      <c r="K14" s="19">
        <f t="shared" si="1"/>
        <v>0</v>
      </c>
      <c r="L14" s="131">
        <f t="shared" si="2"/>
        <v>0</v>
      </c>
      <c r="M14" s="131">
        <f t="shared" si="3"/>
        <v>1</v>
      </c>
      <c r="N14" s="21"/>
      <c r="O14" s="21"/>
      <c r="P14" s="21"/>
    </row>
    <row r="15" spans="1:17" ht="21" x14ac:dyDescent="0.4">
      <c r="A15" s="36">
        <v>9</v>
      </c>
      <c r="B15" s="33" t="s">
        <v>109</v>
      </c>
      <c r="C15" s="35">
        <v>100000000</v>
      </c>
      <c r="D15" s="134"/>
      <c r="E15" s="134"/>
      <c r="F15" s="134">
        <v>0</v>
      </c>
      <c r="G15" s="134">
        <v>0</v>
      </c>
      <c r="H15" s="37">
        <v>0</v>
      </c>
      <c r="I15" s="38">
        <f t="shared" si="4"/>
        <v>100000000</v>
      </c>
      <c r="J15" s="32">
        <f t="shared" si="0"/>
        <v>0.1</v>
      </c>
      <c r="K15" s="19">
        <f t="shared" si="1"/>
        <v>0</v>
      </c>
      <c r="L15" s="131">
        <f t="shared" si="2"/>
        <v>0</v>
      </c>
      <c r="M15" s="131">
        <f t="shared" si="3"/>
        <v>0.1</v>
      </c>
      <c r="N15" s="21"/>
      <c r="O15" s="21"/>
      <c r="P15" s="21"/>
    </row>
    <row r="16" spans="1:17" ht="21" x14ac:dyDescent="0.4">
      <c r="A16" s="36">
        <v>10</v>
      </c>
      <c r="B16" s="33" t="s">
        <v>110</v>
      </c>
      <c r="C16" s="37">
        <v>2149631558.8000002</v>
      </c>
      <c r="D16" s="134">
        <v>0</v>
      </c>
      <c r="E16" s="134">
        <v>0</v>
      </c>
      <c r="F16" s="134">
        <v>0</v>
      </c>
      <c r="G16" s="134">
        <v>0</v>
      </c>
      <c r="H16" s="37">
        <v>0</v>
      </c>
      <c r="I16" s="38">
        <f t="shared" si="4"/>
        <v>2149631558.8000002</v>
      </c>
      <c r="J16" s="32">
        <f t="shared" si="0"/>
        <v>2.1496315588000003</v>
      </c>
      <c r="K16" s="19">
        <f t="shared" si="1"/>
        <v>0</v>
      </c>
      <c r="L16" s="131">
        <f t="shared" si="2"/>
        <v>0</v>
      </c>
      <c r="M16" s="131">
        <f t="shared" si="3"/>
        <v>2.1496315588000003</v>
      </c>
      <c r="N16" s="21"/>
      <c r="O16" s="21"/>
      <c r="P16" s="21"/>
    </row>
    <row r="17" spans="1:16" ht="42" x14ac:dyDescent="0.4">
      <c r="A17" s="36">
        <v>11</v>
      </c>
      <c r="B17" s="34" t="s">
        <v>107</v>
      </c>
      <c r="C17" s="35">
        <v>23920441326.360001</v>
      </c>
      <c r="D17" s="137">
        <v>0</v>
      </c>
      <c r="E17" s="134">
        <v>0</v>
      </c>
      <c r="F17" s="137">
        <v>0</v>
      </c>
      <c r="G17" s="134">
        <v>0</v>
      </c>
      <c r="H17" s="37">
        <v>0</v>
      </c>
      <c r="I17" s="38">
        <f t="shared" si="4"/>
        <v>23920441326.360001</v>
      </c>
      <c r="J17" s="32">
        <f t="shared" si="0"/>
        <v>23.920441326359999</v>
      </c>
      <c r="K17" s="19">
        <f t="shared" si="1"/>
        <v>0</v>
      </c>
      <c r="L17" s="131">
        <f t="shared" si="2"/>
        <v>0</v>
      </c>
      <c r="M17" s="131">
        <f t="shared" si="3"/>
        <v>23.920441326359999</v>
      </c>
      <c r="N17" s="21"/>
      <c r="O17" s="21"/>
      <c r="P17" s="21"/>
    </row>
    <row r="18" spans="1:16" ht="63" x14ac:dyDescent="0.4">
      <c r="A18" s="36">
        <v>12</v>
      </c>
      <c r="B18" s="33" t="s">
        <v>135</v>
      </c>
      <c r="C18" s="35">
        <v>17797280476.5</v>
      </c>
      <c r="D18" s="137"/>
      <c r="E18" s="134"/>
      <c r="F18" s="137"/>
      <c r="G18" s="134"/>
      <c r="H18" s="37"/>
      <c r="I18" s="38">
        <f t="shared" si="4"/>
        <v>17797280476.5</v>
      </c>
      <c r="J18" s="32">
        <f t="shared" si="0"/>
        <v>17.797280476499999</v>
      </c>
      <c r="K18" s="19">
        <f t="shared" si="1"/>
        <v>0</v>
      </c>
      <c r="L18" s="131">
        <f t="shared" si="2"/>
        <v>0</v>
      </c>
      <c r="M18" s="131">
        <f t="shared" si="3"/>
        <v>17.797280476499999</v>
      </c>
      <c r="N18" s="21"/>
      <c r="O18" s="21"/>
      <c r="P18" s="21"/>
    </row>
    <row r="19" spans="1:16" ht="42.6" thickBot="1" x14ac:dyDescent="0.45">
      <c r="A19" s="36">
        <v>13</v>
      </c>
      <c r="B19" s="33" t="s">
        <v>106</v>
      </c>
      <c r="C19" s="35">
        <v>0</v>
      </c>
      <c r="D19" s="137">
        <v>0</v>
      </c>
      <c r="E19" s="134">
        <v>0</v>
      </c>
      <c r="F19" s="137">
        <v>0</v>
      </c>
      <c r="G19" s="134">
        <v>0</v>
      </c>
      <c r="H19" s="37">
        <v>5432336349.4700003</v>
      </c>
      <c r="I19" s="38">
        <f t="shared" si="4"/>
        <v>5432336349.4700003</v>
      </c>
      <c r="J19" s="32">
        <f t="shared" si="0"/>
        <v>0</v>
      </c>
      <c r="K19" s="19">
        <f t="shared" si="1"/>
        <v>0</v>
      </c>
      <c r="L19" s="131">
        <f t="shared" si="2"/>
        <v>5.4323363494699999</v>
      </c>
      <c r="M19" s="131">
        <f t="shared" si="3"/>
        <v>5.4323363494699999</v>
      </c>
      <c r="N19" s="21"/>
      <c r="O19" s="21"/>
      <c r="P19" s="21"/>
    </row>
    <row r="20" spans="1:16" ht="22.2" thickTop="1" thickBot="1" x14ac:dyDescent="0.45">
      <c r="A20" s="36"/>
      <c r="B20" s="39" t="s">
        <v>16</v>
      </c>
      <c r="C20" s="41">
        <f>SUM(C7:C19)</f>
        <v>420258354136.51013</v>
      </c>
      <c r="D20" s="138">
        <f>SUM(D7:D19)</f>
        <v>50000000000</v>
      </c>
      <c r="E20" s="138">
        <f t="shared" ref="E20:H20" si="5">SUM(E7:E19)</f>
        <v>20000000000</v>
      </c>
      <c r="F20" s="138">
        <f>SUM(F7:F19)</f>
        <v>7940042505.3475008</v>
      </c>
      <c r="G20" s="139">
        <f t="shared" si="5"/>
        <v>1727915119.1981997</v>
      </c>
      <c r="H20" s="41">
        <f t="shared" si="5"/>
        <v>181077878315.76999</v>
      </c>
      <c r="I20" s="42">
        <f>SUM(I7:I19)</f>
        <v>681004190076.82568</v>
      </c>
      <c r="J20" s="32">
        <f t="shared" si="0"/>
        <v>420.25835413651015</v>
      </c>
      <c r="K20" s="19">
        <f>SUM(D20:G20)/1000000000</f>
        <v>79.667957624545707</v>
      </c>
      <c r="L20" s="131">
        <f t="shared" si="2"/>
        <v>181.07787831576999</v>
      </c>
      <c r="M20" s="131">
        <f t="shared" si="3"/>
        <v>681.00419007682569</v>
      </c>
      <c r="N20" s="21"/>
      <c r="O20" s="21"/>
      <c r="P20" s="21"/>
    </row>
    <row r="21" spans="1:16" ht="18.600000000000001" thickTop="1" x14ac:dyDescent="0.35">
      <c r="A21" s="16"/>
      <c r="B21" s="17" t="s">
        <v>37</v>
      </c>
      <c r="C21" s="18"/>
      <c r="D21" s="18"/>
      <c r="E21" s="18"/>
      <c r="F21" s="18"/>
      <c r="G21" s="18"/>
      <c r="H21" s="18"/>
      <c r="I21" s="18"/>
      <c r="J21" s="19"/>
      <c r="K21" s="19"/>
    </row>
    <row r="22" spans="1:16" ht="18" x14ac:dyDescent="0.35">
      <c r="A22" s="16"/>
      <c r="C22" s="18"/>
      <c r="D22" s="20"/>
      <c r="E22" s="20"/>
      <c r="F22" s="20"/>
      <c r="G22" s="20"/>
      <c r="H22" s="18"/>
      <c r="I22" s="18"/>
      <c r="J22" s="18"/>
      <c r="K22" s="18"/>
    </row>
    <row r="23" spans="1:16" ht="20.399999999999999" x14ac:dyDescent="0.35">
      <c r="A23" s="106" t="s">
        <v>111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</row>
    <row r="24" spans="1:16" ht="16.5" customHeight="1" x14ac:dyDescent="0.4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</row>
    <row r="25" spans="1:16" ht="30" customHeight="1" x14ac:dyDescent="0.35">
      <c r="A25" s="26">
        <v>0</v>
      </c>
      <c r="B25" s="26">
        <v>1</v>
      </c>
      <c r="C25" s="26">
        <v>2</v>
      </c>
      <c r="D25" s="26">
        <v>3</v>
      </c>
      <c r="E25" s="26" t="s">
        <v>94</v>
      </c>
      <c r="F25" s="25">
        <v>6</v>
      </c>
      <c r="G25" s="26">
        <v>7</v>
      </c>
      <c r="H25" s="26">
        <v>8</v>
      </c>
      <c r="I25" s="26">
        <v>9</v>
      </c>
      <c r="J25" s="26">
        <v>10</v>
      </c>
      <c r="K25" s="26" t="s">
        <v>95</v>
      </c>
    </row>
    <row r="26" spans="1:16" ht="94.5" customHeight="1" x14ac:dyDescent="0.35">
      <c r="A26" s="44" t="s">
        <v>0</v>
      </c>
      <c r="B26" s="44" t="s">
        <v>20</v>
      </c>
      <c r="C26" s="45" t="s">
        <v>7</v>
      </c>
      <c r="D26" s="44" t="s">
        <v>112</v>
      </c>
      <c r="E26" s="44" t="s">
        <v>13</v>
      </c>
      <c r="F26" s="132" t="s">
        <v>103</v>
      </c>
      <c r="G26" s="132" t="s">
        <v>102</v>
      </c>
      <c r="H26" s="132" t="s">
        <v>101</v>
      </c>
      <c r="I26" s="132" t="s">
        <v>36</v>
      </c>
      <c r="J26" s="44" t="s">
        <v>25</v>
      </c>
      <c r="K26" s="44" t="s">
        <v>14</v>
      </c>
    </row>
    <row r="27" spans="1:16" ht="30" customHeight="1" x14ac:dyDescent="0.4">
      <c r="A27" s="36"/>
      <c r="B27" s="36"/>
      <c r="C27" s="24" t="s">
        <v>100</v>
      </c>
      <c r="D27" s="24" t="s">
        <v>100</v>
      </c>
      <c r="E27" s="24" t="s">
        <v>100</v>
      </c>
      <c r="F27" s="133" t="s">
        <v>100</v>
      </c>
      <c r="G27" s="133" t="s">
        <v>100</v>
      </c>
      <c r="H27" s="133" t="s">
        <v>100</v>
      </c>
      <c r="I27" s="133" t="s">
        <v>100</v>
      </c>
      <c r="J27" s="24" t="s">
        <v>100</v>
      </c>
      <c r="K27" s="24" t="s">
        <v>100</v>
      </c>
    </row>
    <row r="28" spans="1:16" ht="30" customHeight="1" x14ac:dyDescent="0.4">
      <c r="A28" s="36">
        <v>1</v>
      </c>
      <c r="B28" s="47" t="s">
        <v>18</v>
      </c>
      <c r="C28" s="48">
        <v>161612439324.63159</v>
      </c>
      <c r="D28" s="48">
        <v>88438755877.949997</v>
      </c>
      <c r="E28" s="48">
        <f>C28-D28</f>
        <v>73173683446.681595</v>
      </c>
      <c r="F28" s="140">
        <v>24250000000</v>
      </c>
      <c r="G28" s="141">
        <v>9700000000</v>
      </c>
      <c r="H28" s="140">
        <v>3350300935.1324</v>
      </c>
      <c r="I28" s="140">
        <v>739462571.47000003</v>
      </c>
      <c r="J28" s="48">
        <v>23576339756.709999</v>
      </c>
      <c r="K28" s="49">
        <f>E28+F28+G28+H28+I28+J28</f>
        <v>134789786709.99399</v>
      </c>
      <c r="L28" s="144">
        <f>SUM(F28:I28)</f>
        <v>38039763506.602402</v>
      </c>
    </row>
    <row r="29" spans="1:16" ht="30" customHeight="1" x14ac:dyDescent="0.4">
      <c r="A29" s="36">
        <v>2</v>
      </c>
      <c r="B29" s="47" t="s">
        <v>19</v>
      </c>
      <c r="C29" s="48">
        <v>3332215243.8067999</v>
      </c>
      <c r="D29" s="48">
        <v>0</v>
      </c>
      <c r="E29" s="48">
        <f t="shared" ref="E29:E32" si="6">C29-D29</f>
        <v>3332215243.8067999</v>
      </c>
      <c r="F29" s="140">
        <v>500000000</v>
      </c>
      <c r="G29" s="141">
        <v>200000000</v>
      </c>
      <c r="H29" s="140">
        <v>69078369.796499997</v>
      </c>
      <c r="I29" s="140">
        <v>15246650.960000001</v>
      </c>
      <c r="J29" s="48"/>
      <c r="K29" s="49">
        <f t="shared" ref="K29:K32" si="7">E29+F29+G29+H29+I29+J29</f>
        <v>4116540264.5633001</v>
      </c>
      <c r="L29" s="144">
        <f t="shared" ref="L29:L33" si="8">SUM(F29:I29)</f>
        <v>784325020.75650001</v>
      </c>
    </row>
    <row r="30" spans="1:16" ht="21" x14ac:dyDescent="0.4">
      <c r="A30" s="36">
        <v>3</v>
      </c>
      <c r="B30" s="47" t="s">
        <v>4</v>
      </c>
      <c r="C30" s="48">
        <v>1666107621.9000001</v>
      </c>
      <c r="D30" s="48">
        <v>0</v>
      </c>
      <c r="E30" s="48">
        <f t="shared" si="6"/>
        <v>1666107621.9000001</v>
      </c>
      <c r="F30" s="140">
        <v>250000000</v>
      </c>
      <c r="G30" s="141">
        <v>100000000</v>
      </c>
      <c r="H30" s="140">
        <v>34539184.8983</v>
      </c>
      <c r="I30" s="140">
        <v>623325.48</v>
      </c>
      <c r="J30" s="48"/>
      <c r="K30" s="49">
        <f t="shared" si="7"/>
        <v>2051270132.2783</v>
      </c>
      <c r="L30" s="144">
        <f t="shared" si="8"/>
        <v>385162510.37830001</v>
      </c>
    </row>
    <row r="31" spans="1:16" ht="21" x14ac:dyDescent="0.4">
      <c r="A31" s="36">
        <v>4</v>
      </c>
      <c r="B31" s="47" t="s">
        <v>5</v>
      </c>
      <c r="C31" s="48">
        <v>5598121609.5955</v>
      </c>
      <c r="D31" s="48">
        <v>0</v>
      </c>
      <c r="E31" s="48">
        <f t="shared" si="6"/>
        <v>5598121609.5955</v>
      </c>
      <c r="F31" s="140">
        <v>840000000</v>
      </c>
      <c r="G31" s="141">
        <v>336000000</v>
      </c>
      <c r="H31" s="140">
        <v>116051661.2582</v>
      </c>
      <c r="I31" s="140">
        <v>25614373.609999999</v>
      </c>
      <c r="J31" s="48"/>
      <c r="K31" s="49">
        <f t="shared" si="7"/>
        <v>6915787644.4636993</v>
      </c>
      <c r="L31" s="144">
        <f t="shared" si="8"/>
        <v>1317666034.8681998</v>
      </c>
    </row>
    <row r="32" spans="1:16" ht="21" x14ac:dyDescent="0.4">
      <c r="A32" s="36">
        <v>5</v>
      </c>
      <c r="B32" s="36" t="s">
        <v>6</v>
      </c>
      <c r="C32" s="51">
        <v>3332215243.8067999</v>
      </c>
      <c r="D32" s="48">
        <v>49928019</v>
      </c>
      <c r="E32" s="48">
        <f t="shared" si="6"/>
        <v>3282287224.8067999</v>
      </c>
      <c r="F32" s="140">
        <v>500000000</v>
      </c>
      <c r="G32" s="141">
        <v>200000000</v>
      </c>
      <c r="H32" s="140">
        <v>69078369.796499997</v>
      </c>
      <c r="I32" s="142">
        <v>15246650.960000001</v>
      </c>
      <c r="J32" s="51">
        <v>1684024268.3399999</v>
      </c>
      <c r="K32" s="49">
        <f t="shared" si="7"/>
        <v>5750636513.9033003</v>
      </c>
      <c r="L32" s="144">
        <f t="shared" si="8"/>
        <v>784325020.75650001</v>
      </c>
    </row>
    <row r="33" spans="1:12" ht="37.5" customHeight="1" x14ac:dyDescent="0.4">
      <c r="A33" s="36"/>
      <c r="B33" s="50" t="s">
        <v>10</v>
      </c>
      <c r="C33" s="52">
        <f>SUM(C28:C32)</f>
        <v>175541099043.74066</v>
      </c>
      <c r="D33" s="52">
        <f t="shared" ref="D33:K33" si="9">SUM(D28:D32)</f>
        <v>88488683896.949997</v>
      </c>
      <c r="E33" s="52">
        <f t="shared" si="9"/>
        <v>87052415146.79068</v>
      </c>
      <c r="F33" s="143">
        <f>SUM(F28:F32)</f>
        <v>26340000000</v>
      </c>
      <c r="G33" s="143">
        <f>SUM(G28:G32)</f>
        <v>10536000000</v>
      </c>
      <c r="H33" s="143">
        <f t="shared" si="9"/>
        <v>3639048520.8819008</v>
      </c>
      <c r="I33" s="143">
        <f t="shared" si="9"/>
        <v>796193572.48000014</v>
      </c>
      <c r="J33" s="52">
        <f t="shared" si="9"/>
        <v>25260364025.049999</v>
      </c>
      <c r="K33" s="52">
        <f t="shared" si="9"/>
        <v>153624021265.20255</v>
      </c>
      <c r="L33" s="144">
        <f t="shared" si="8"/>
        <v>41311242093.3619</v>
      </c>
    </row>
    <row r="34" spans="1:12" ht="22.8" x14ac:dyDescent="0.4">
      <c r="A34" s="22" t="s">
        <v>96</v>
      </c>
      <c r="E34" s="21"/>
      <c r="F34" s="21"/>
      <c r="J34" s="21"/>
      <c r="K34" s="21"/>
    </row>
    <row r="35" spans="1:12" ht="96" customHeight="1" x14ac:dyDescent="0.35">
      <c r="A35" s="103" t="s">
        <v>97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</row>
    <row r="36" spans="1:12" x14ac:dyDescent="0.25">
      <c r="B36" s="23"/>
      <c r="C36" s="23"/>
      <c r="D36" s="23"/>
      <c r="E36" s="23"/>
      <c r="F36" s="23"/>
      <c r="G36" s="23"/>
    </row>
    <row r="37" spans="1:12" hidden="1" x14ac:dyDescent="0.25">
      <c r="B37" s="23"/>
      <c r="C37" s="23"/>
      <c r="D37" s="23"/>
      <c r="E37" s="23"/>
      <c r="F37" s="23"/>
      <c r="G37" s="23"/>
    </row>
    <row r="38" spans="1:12" x14ac:dyDescent="0.25">
      <c r="B38" s="23"/>
      <c r="C38" s="23"/>
      <c r="D38" s="23"/>
      <c r="E38" s="23"/>
      <c r="F38" s="23"/>
      <c r="G38" s="23"/>
    </row>
    <row r="39" spans="1:12" ht="42.75" customHeight="1" x14ac:dyDescent="0.4">
      <c r="C39" s="107" t="s">
        <v>29</v>
      </c>
      <c r="D39" s="107"/>
      <c r="E39" s="107"/>
      <c r="F39" s="107"/>
      <c r="G39" s="107"/>
      <c r="H39" s="107"/>
    </row>
    <row r="40" spans="1:12" ht="24.6" x14ac:dyDescent="0.4">
      <c r="C40" s="108" t="s">
        <v>144</v>
      </c>
      <c r="D40" s="108"/>
      <c r="E40" s="108"/>
      <c r="F40" s="108"/>
      <c r="G40" s="108"/>
      <c r="H40" s="108"/>
    </row>
    <row r="41" spans="1:12" ht="24.6" x14ac:dyDescent="0.4">
      <c r="C41" s="102" t="s">
        <v>136</v>
      </c>
      <c r="D41" s="102"/>
      <c r="E41" s="102"/>
      <c r="F41" s="102"/>
      <c r="G41" s="102"/>
      <c r="H41" s="102"/>
    </row>
    <row r="42" spans="1:12" ht="24.6" x14ac:dyDescent="0.4">
      <c r="C42" s="102" t="s">
        <v>31</v>
      </c>
      <c r="D42" s="102"/>
      <c r="E42" s="102"/>
      <c r="F42" s="102"/>
      <c r="G42" s="102"/>
      <c r="H42" s="102"/>
    </row>
    <row r="43" spans="1:12" ht="35.25" customHeight="1" x14ac:dyDescent="0.25"/>
  </sheetData>
  <mergeCells count="9">
    <mergeCell ref="A1:K1"/>
    <mergeCell ref="C42:H42"/>
    <mergeCell ref="A35:K35"/>
    <mergeCell ref="A3:I3"/>
    <mergeCell ref="A2:K2"/>
    <mergeCell ref="A23:K23"/>
    <mergeCell ref="C39:H39"/>
    <mergeCell ref="C40:H40"/>
    <mergeCell ref="C41:H41"/>
  </mergeCells>
  <phoneticPr fontId="2" type="noConversion"/>
  <pageMargins left="0.74803149606299213" right="0.74803149606299213" top="0.39370078740157483" bottom="0.41" header="0.51181102362204722" footer="0.51181102362204722"/>
  <pageSetup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U56"/>
  <sheetViews>
    <sheetView zoomScale="80" zoomScaleNormal="80" workbookViewId="0">
      <pane xSplit="3" ySplit="9" topLeftCell="G40" activePane="bottomRight" state="frozen"/>
      <selection pane="topRight" activeCell="D1" sqref="D1"/>
      <selection pane="bottomLeft" activeCell="A10" sqref="A10"/>
      <selection pane="bottomRight" activeCell="A4" sqref="A4:T49"/>
    </sheetView>
  </sheetViews>
  <sheetFormatPr defaultColWidth="9.109375" defaultRowHeight="13.2" x14ac:dyDescent="0.25"/>
  <cols>
    <col min="1" max="1" width="5.5546875" style="8" customWidth="1"/>
    <col min="2" max="2" width="22.44140625" style="8" customWidth="1"/>
    <col min="3" max="3" width="7.44140625" style="8" customWidth="1"/>
    <col min="4" max="4" width="20.6640625" style="8" customWidth="1"/>
    <col min="5" max="5" width="19" style="8" customWidth="1"/>
    <col min="6" max="6" width="19.44140625" style="8" customWidth="1"/>
    <col min="7" max="7" width="17.88671875" style="8" bestFit="1" customWidth="1"/>
    <col min="8" max="8" width="18.5546875" style="8" customWidth="1"/>
    <col min="9" max="9" width="19.44140625" style="8" customWidth="1"/>
    <col min="10" max="10" width="19.5546875" style="8" customWidth="1"/>
    <col min="11" max="15" width="21" style="8" customWidth="1"/>
    <col min="16" max="16" width="22" style="8" bestFit="1" customWidth="1"/>
    <col min="17" max="18" width="22" style="8" customWidth="1"/>
    <col min="19" max="19" width="24.109375" style="8" bestFit="1" customWidth="1"/>
    <col min="20" max="20" width="20.109375" style="8" bestFit="1" customWidth="1"/>
    <col min="21" max="21" width="4.33203125" style="8" bestFit="1" customWidth="1"/>
    <col min="22" max="16384" width="9.109375" style="8"/>
  </cols>
  <sheetData>
    <row r="1" spans="1:21" ht="24.6" x14ac:dyDescent="0.4">
      <c r="A1" s="105" t="s">
        <v>30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1" ht="24.6" hidden="1" x14ac:dyDescent="0.4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ht="18" customHeight="1" x14ac:dyDescent="0.35">
      <c r="H3" s="16" t="s">
        <v>22</v>
      </c>
    </row>
    <row r="4" spans="1:21" ht="17.399999999999999" x14ac:dyDescent="0.3">
      <c r="A4" s="118" t="s">
        <v>113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</row>
    <row r="5" spans="1:21" ht="20.399999999999999" x14ac:dyDescent="0.35">
      <c r="A5" s="14"/>
      <c r="B5" s="14"/>
      <c r="C5" s="14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4"/>
    </row>
    <row r="6" spans="1:21" ht="26.25" customHeight="1" x14ac:dyDescent="0.25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 t="s">
        <v>8</v>
      </c>
      <c r="G6" s="54">
        <v>7</v>
      </c>
      <c r="H6" s="54">
        <v>8</v>
      </c>
      <c r="I6" s="54">
        <v>9</v>
      </c>
      <c r="J6" s="54" t="s">
        <v>9</v>
      </c>
      <c r="K6" s="54">
        <v>11</v>
      </c>
      <c r="L6" s="54">
        <v>12</v>
      </c>
      <c r="M6" s="54">
        <v>13</v>
      </c>
      <c r="N6" s="54">
        <v>14</v>
      </c>
      <c r="O6" s="54">
        <v>15</v>
      </c>
      <c r="P6" s="54">
        <v>16</v>
      </c>
      <c r="Q6" s="54">
        <v>17</v>
      </c>
      <c r="R6" s="54">
        <v>18</v>
      </c>
      <c r="S6" s="54" t="s">
        <v>34</v>
      </c>
      <c r="T6" s="54" t="s">
        <v>35</v>
      </c>
      <c r="U6" s="55"/>
    </row>
    <row r="7" spans="1:21" ht="20.100000000000001" customHeight="1" x14ac:dyDescent="0.3">
      <c r="A7" s="114" t="s">
        <v>0</v>
      </c>
      <c r="B7" s="114" t="s">
        <v>20</v>
      </c>
      <c r="C7" s="114" t="s">
        <v>1</v>
      </c>
      <c r="D7" s="114" t="s">
        <v>137</v>
      </c>
      <c r="E7" s="114" t="s">
        <v>32</v>
      </c>
      <c r="F7" s="114" t="s">
        <v>2</v>
      </c>
      <c r="G7" s="111" t="s">
        <v>24</v>
      </c>
      <c r="H7" s="112"/>
      <c r="I7" s="113"/>
      <c r="J7" s="114" t="s">
        <v>13</v>
      </c>
      <c r="K7" s="116" t="s">
        <v>103</v>
      </c>
      <c r="L7" s="116" t="s">
        <v>102</v>
      </c>
      <c r="M7" s="116" t="s">
        <v>101</v>
      </c>
      <c r="N7" s="116" t="s">
        <v>36</v>
      </c>
      <c r="O7" s="116" t="s">
        <v>117</v>
      </c>
      <c r="P7" s="116" t="s">
        <v>75</v>
      </c>
      <c r="Q7" s="116" t="s">
        <v>118</v>
      </c>
      <c r="R7" s="116" t="s">
        <v>119</v>
      </c>
      <c r="S7" s="119" t="s">
        <v>26</v>
      </c>
      <c r="T7" s="119" t="s">
        <v>14</v>
      </c>
      <c r="U7" s="119" t="s">
        <v>0</v>
      </c>
    </row>
    <row r="8" spans="1:21" ht="71.25" customHeight="1" x14ac:dyDescent="0.3">
      <c r="A8" s="115"/>
      <c r="B8" s="115"/>
      <c r="C8" s="115"/>
      <c r="D8" s="115"/>
      <c r="E8" s="115"/>
      <c r="F8" s="115"/>
      <c r="G8" s="69" t="s">
        <v>3</v>
      </c>
      <c r="H8" s="69" t="s">
        <v>12</v>
      </c>
      <c r="I8" s="69" t="s">
        <v>93</v>
      </c>
      <c r="J8" s="115"/>
      <c r="K8" s="117"/>
      <c r="L8" s="117"/>
      <c r="M8" s="117"/>
      <c r="N8" s="117"/>
      <c r="O8" s="117"/>
      <c r="P8" s="117"/>
      <c r="Q8" s="117"/>
      <c r="R8" s="117"/>
      <c r="S8" s="120"/>
      <c r="T8" s="120"/>
      <c r="U8" s="120"/>
    </row>
    <row r="9" spans="1:21" ht="17.399999999999999" x14ac:dyDescent="0.3">
      <c r="A9" s="55"/>
      <c r="B9" s="55"/>
      <c r="C9" s="55"/>
      <c r="D9" s="53" t="s">
        <v>100</v>
      </c>
      <c r="E9" s="53" t="s">
        <v>100</v>
      </c>
      <c r="F9" s="53" t="s">
        <v>100</v>
      </c>
      <c r="G9" s="53" t="s">
        <v>100</v>
      </c>
      <c r="H9" s="53" t="s">
        <v>100</v>
      </c>
      <c r="I9" s="53" t="s">
        <v>100</v>
      </c>
      <c r="J9" s="53" t="s">
        <v>100</v>
      </c>
      <c r="K9" s="53" t="s">
        <v>100</v>
      </c>
      <c r="L9" s="53" t="s">
        <v>100</v>
      </c>
      <c r="M9" s="53" t="s">
        <v>100</v>
      </c>
      <c r="N9" s="53" t="s">
        <v>100</v>
      </c>
      <c r="O9" s="53" t="s">
        <v>100</v>
      </c>
      <c r="P9" s="53" t="s">
        <v>100</v>
      </c>
      <c r="Q9" s="53" t="s">
        <v>100</v>
      </c>
      <c r="R9" s="53" t="s">
        <v>100</v>
      </c>
      <c r="S9" s="53" t="s">
        <v>100</v>
      </c>
      <c r="T9" s="53" t="s">
        <v>100</v>
      </c>
      <c r="U9" s="55"/>
    </row>
    <row r="10" spans="1:21" ht="18" customHeight="1" x14ac:dyDescent="0.25">
      <c r="A10" s="55">
        <v>1</v>
      </c>
      <c r="B10" s="56" t="s">
        <v>39</v>
      </c>
      <c r="C10" s="57">
        <v>17</v>
      </c>
      <c r="D10" s="58">
        <v>2139371212.2210104</v>
      </c>
      <c r="E10" s="58">
        <v>315105182.03750002</v>
      </c>
      <c r="F10" s="59">
        <f>D10+E10</f>
        <v>2454476394.2585106</v>
      </c>
      <c r="G10" s="60">
        <v>67572423.200000003</v>
      </c>
      <c r="H10" s="60">
        <v>0</v>
      </c>
      <c r="I10" s="58">
        <f>458629432.07-G10-H10</f>
        <v>391057008.87</v>
      </c>
      <c r="J10" s="61">
        <f>F10-G10-H10-I10</f>
        <v>1995846962.1885109</v>
      </c>
      <c r="K10" s="59">
        <v>321013359.33999997</v>
      </c>
      <c r="L10" s="59">
        <v>128405343.33</v>
      </c>
      <c r="M10" s="59">
        <v>52539117.039999999</v>
      </c>
      <c r="N10" s="59">
        <v>12536106.720000001</v>
      </c>
      <c r="O10" s="59">
        <v>73188798.371889502</v>
      </c>
      <c r="P10" s="61">
        <v>1739095741.8034</v>
      </c>
      <c r="Q10" s="62">
        <v>0</v>
      </c>
      <c r="R10" s="62">
        <f>P10-Q10</f>
        <v>1739095741.8034</v>
      </c>
      <c r="S10" s="62">
        <f>F10+K10+L10+M10+N10+O10+P10</f>
        <v>4781254860.8638</v>
      </c>
      <c r="T10" s="63">
        <f>J10+K10+L10+M10+N10+O10+R10</f>
        <v>4322625428.7938004</v>
      </c>
      <c r="U10" s="55">
        <v>1</v>
      </c>
    </row>
    <row r="11" spans="1:21" ht="18" customHeight="1" x14ac:dyDescent="0.25">
      <c r="A11" s="55">
        <v>2</v>
      </c>
      <c r="B11" s="56" t="s">
        <v>40</v>
      </c>
      <c r="C11" s="64">
        <v>21</v>
      </c>
      <c r="D11" s="58">
        <v>2275923069.871789</v>
      </c>
      <c r="E11" s="58">
        <v>0</v>
      </c>
      <c r="F11" s="59">
        <f t="shared" ref="F11:F46" si="0">D11+E11</f>
        <v>2275923069.871789</v>
      </c>
      <c r="G11" s="60">
        <v>82177449.780000001</v>
      </c>
      <c r="H11" s="60">
        <v>0</v>
      </c>
      <c r="I11" s="58">
        <f>248158035.97-G11-H11</f>
        <v>165980586.19</v>
      </c>
      <c r="J11" s="61">
        <f t="shared" ref="J11:J46" si="1">F11-G11-H11-I11</f>
        <v>2027765033.9017887</v>
      </c>
      <c r="K11" s="59">
        <v>341503009.75999999</v>
      </c>
      <c r="L11" s="59">
        <v>136601203.90000001</v>
      </c>
      <c r="M11" s="59">
        <v>53184672.350000001</v>
      </c>
      <c r="N11" s="59">
        <v>10413554.380000001</v>
      </c>
      <c r="O11" s="59">
        <v>77860295.454711065</v>
      </c>
      <c r="P11" s="61">
        <v>1795559848.8771999</v>
      </c>
      <c r="Q11" s="62">
        <v>0</v>
      </c>
      <c r="R11" s="62">
        <f t="shared" ref="R11:R46" si="2">P11-Q11</f>
        <v>1795559848.8771999</v>
      </c>
      <c r="S11" s="62">
        <f t="shared" ref="S11:S45" si="3">F11+K11+L11+M11+N11+O11+P11</f>
        <v>4691045654.5937004</v>
      </c>
      <c r="T11" s="63">
        <f>J11+K11+L11+M11+N11+O11+R11</f>
        <v>4442887618.6237001</v>
      </c>
      <c r="U11" s="55">
        <v>2</v>
      </c>
    </row>
    <row r="12" spans="1:21" ht="18" customHeight="1" x14ac:dyDescent="0.25">
      <c r="A12" s="55">
        <v>3</v>
      </c>
      <c r="B12" s="56" t="s">
        <v>41</v>
      </c>
      <c r="C12" s="64">
        <v>31</v>
      </c>
      <c r="D12" s="58">
        <v>2297073044.0976424</v>
      </c>
      <c r="E12" s="58">
        <v>5422377445.1688004</v>
      </c>
      <c r="F12" s="59">
        <f t="shared" si="0"/>
        <v>7719450489.2664433</v>
      </c>
      <c r="G12" s="60">
        <v>44801992.189999998</v>
      </c>
      <c r="H12" s="60">
        <v>0</v>
      </c>
      <c r="I12" s="58">
        <f>933720649.22-G12-H12</f>
        <v>888918657.02999997</v>
      </c>
      <c r="J12" s="61">
        <f t="shared" si="1"/>
        <v>6785729840.0464439</v>
      </c>
      <c r="K12" s="59">
        <v>344676570.38999999</v>
      </c>
      <c r="L12" s="59">
        <v>137870628.16</v>
      </c>
      <c r="M12" s="59">
        <v>50036271.299999997</v>
      </c>
      <c r="N12" s="59">
        <v>56711121</v>
      </c>
      <c r="O12" s="59">
        <v>78583845.061657801</v>
      </c>
      <c r="P12" s="61">
        <v>2101713817.8453</v>
      </c>
      <c r="Q12" s="62">
        <v>0</v>
      </c>
      <c r="R12" s="62">
        <f t="shared" si="2"/>
        <v>2101713817.8453</v>
      </c>
      <c r="S12" s="62">
        <f t="shared" si="3"/>
        <v>10489042743.023401</v>
      </c>
      <c r="T12" s="63">
        <f t="shared" ref="T12:T46" si="4">J12+K12+L12+M12+N12+O12+R12</f>
        <v>9555322093.8034019</v>
      </c>
      <c r="U12" s="55">
        <v>3</v>
      </c>
    </row>
    <row r="13" spans="1:21" ht="18" customHeight="1" x14ac:dyDescent="0.25">
      <c r="A13" s="55">
        <v>4</v>
      </c>
      <c r="B13" s="56" t="s">
        <v>42</v>
      </c>
      <c r="C13" s="64">
        <v>21</v>
      </c>
      <c r="D13" s="58">
        <v>2271659395.94244</v>
      </c>
      <c r="E13" s="58">
        <v>0</v>
      </c>
      <c r="F13" s="59">
        <f t="shared" si="0"/>
        <v>2271659395.94244</v>
      </c>
      <c r="G13" s="60">
        <v>49206305.829999998</v>
      </c>
      <c r="H13" s="60">
        <v>0</v>
      </c>
      <c r="I13" s="58">
        <f>157051201.08-G13-H13</f>
        <v>107844895.25000001</v>
      </c>
      <c r="J13" s="61">
        <f t="shared" si="1"/>
        <v>2114608194.8624401</v>
      </c>
      <c r="K13" s="59">
        <v>340863244.07999998</v>
      </c>
      <c r="L13" s="59">
        <v>136345297.63</v>
      </c>
      <c r="M13" s="59">
        <v>51745023.890000001</v>
      </c>
      <c r="N13" s="59">
        <v>10394045.82</v>
      </c>
      <c r="O13" s="59">
        <v>77714433.357659876</v>
      </c>
      <c r="P13" s="61">
        <v>2061068895.4073999</v>
      </c>
      <c r="Q13" s="62">
        <v>0</v>
      </c>
      <c r="R13" s="62">
        <f t="shared" si="2"/>
        <v>2061068895.4073999</v>
      </c>
      <c r="S13" s="62">
        <f t="shared" si="3"/>
        <v>4949790336.1274996</v>
      </c>
      <c r="T13" s="63">
        <f t="shared" si="4"/>
        <v>4792739135.0474997</v>
      </c>
      <c r="U13" s="55">
        <v>4</v>
      </c>
    </row>
    <row r="14" spans="1:21" ht="18" customHeight="1" x14ac:dyDescent="0.25">
      <c r="A14" s="55">
        <v>5</v>
      </c>
      <c r="B14" s="56" t="s">
        <v>43</v>
      </c>
      <c r="C14" s="64">
        <v>20</v>
      </c>
      <c r="D14" s="58">
        <v>2732882362.836452</v>
      </c>
      <c r="E14" s="58">
        <v>0</v>
      </c>
      <c r="F14" s="59">
        <f t="shared" si="0"/>
        <v>2732882362.836452</v>
      </c>
      <c r="G14" s="60">
        <v>136554732.87</v>
      </c>
      <c r="H14" s="60">
        <v>201255000</v>
      </c>
      <c r="I14" s="58">
        <f>782571375.95-G14-H14</f>
        <v>444761643.08000004</v>
      </c>
      <c r="J14" s="61">
        <f t="shared" si="1"/>
        <v>1950310986.8864522</v>
      </c>
      <c r="K14" s="59">
        <v>410069902.88</v>
      </c>
      <c r="L14" s="59">
        <v>164027961.15000001</v>
      </c>
      <c r="M14" s="59">
        <v>86836805.079999998</v>
      </c>
      <c r="N14" s="59">
        <v>12504385.35</v>
      </c>
      <c r="O14" s="59">
        <v>93493067.068047896</v>
      </c>
      <c r="P14" s="61">
        <v>2153109609.1636</v>
      </c>
      <c r="Q14" s="62">
        <v>0</v>
      </c>
      <c r="R14" s="62">
        <f t="shared" si="2"/>
        <v>2153109609.1636</v>
      </c>
      <c r="S14" s="62">
        <f t="shared" si="3"/>
        <v>5652924093.5281</v>
      </c>
      <c r="T14" s="63">
        <f t="shared" si="4"/>
        <v>4870352717.5781002</v>
      </c>
      <c r="U14" s="55">
        <v>5</v>
      </c>
    </row>
    <row r="15" spans="1:21" ht="18" customHeight="1" x14ac:dyDescent="0.25">
      <c r="A15" s="55">
        <v>6</v>
      </c>
      <c r="B15" s="56" t="s">
        <v>44</v>
      </c>
      <c r="C15" s="64">
        <v>8</v>
      </c>
      <c r="D15" s="58">
        <v>2021556175.2078593</v>
      </c>
      <c r="E15" s="58">
        <v>4329075129.8773003</v>
      </c>
      <c r="F15" s="59">
        <f t="shared" si="0"/>
        <v>6350631305.0851593</v>
      </c>
      <c r="G15" s="60">
        <v>35910172.130000003</v>
      </c>
      <c r="H15" s="60">
        <v>0</v>
      </c>
      <c r="I15" s="58">
        <f>1941477469.62-G15-H15</f>
        <v>1905567297.4899998</v>
      </c>
      <c r="J15" s="61">
        <f t="shared" si="1"/>
        <v>4409153835.4651594</v>
      </c>
      <c r="K15" s="59">
        <v>303335173.05000001</v>
      </c>
      <c r="L15" s="59">
        <v>121334069.22</v>
      </c>
      <c r="M15" s="59">
        <v>43468288.719999999</v>
      </c>
      <c r="N15" s="59">
        <v>43382101.75</v>
      </c>
      <c r="O15" s="59">
        <v>69158295.885940716</v>
      </c>
      <c r="P15" s="61">
        <v>1629009255.0866001</v>
      </c>
      <c r="Q15" s="62">
        <v>0</v>
      </c>
      <c r="R15" s="62">
        <f t="shared" si="2"/>
        <v>1629009255.0866001</v>
      </c>
      <c r="S15" s="62">
        <f t="shared" si="3"/>
        <v>8560318488.7977009</v>
      </c>
      <c r="T15" s="63">
        <f t="shared" si="4"/>
        <v>6618841019.177701</v>
      </c>
      <c r="U15" s="55">
        <v>6</v>
      </c>
    </row>
    <row r="16" spans="1:21" ht="18" customHeight="1" x14ac:dyDescent="0.25">
      <c r="A16" s="55">
        <v>7</v>
      </c>
      <c r="B16" s="56" t="s">
        <v>45</v>
      </c>
      <c r="C16" s="64">
        <v>23</v>
      </c>
      <c r="D16" s="58">
        <v>2562253879.6955614</v>
      </c>
      <c r="E16" s="58">
        <v>0</v>
      </c>
      <c r="F16" s="59">
        <f t="shared" si="0"/>
        <v>2562253879.6955614</v>
      </c>
      <c r="G16" s="60">
        <v>32909106.25</v>
      </c>
      <c r="H16" s="60">
        <v>103855987.23</v>
      </c>
      <c r="I16" s="58">
        <f>908014347.92-G16-H16</f>
        <v>771249254.43999994</v>
      </c>
      <c r="J16" s="61">
        <f t="shared" si="1"/>
        <v>1654239531.7755613</v>
      </c>
      <c r="K16" s="59">
        <v>384467042.52999997</v>
      </c>
      <c r="L16" s="59">
        <v>153789817.00999999</v>
      </c>
      <c r="M16" s="59">
        <v>80415598.870000005</v>
      </c>
      <c r="N16" s="59">
        <v>11723669.6</v>
      </c>
      <c r="O16" s="59">
        <v>43827897.072669305</v>
      </c>
      <c r="P16" s="61">
        <v>1946849366.1791999</v>
      </c>
      <c r="Q16" s="62">
        <v>0</v>
      </c>
      <c r="R16" s="62">
        <f t="shared" si="2"/>
        <v>1946849366.1791999</v>
      </c>
      <c r="S16" s="62">
        <f t="shared" si="3"/>
        <v>5183327270.9574308</v>
      </c>
      <c r="T16" s="63">
        <f t="shared" si="4"/>
        <v>4275312923.0374308</v>
      </c>
      <c r="U16" s="55">
        <v>7</v>
      </c>
    </row>
    <row r="17" spans="1:21" ht="18" customHeight="1" x14ac:dyDescent="0.25">
      <c r="A17" s="55">
        <v>8</v>
      </c>
      <c r="B17" s="56" t="s">
        <v>46</v>
      </c>
      <c r="C17" s="64">
        <v>27</v>
      </c>
      <c r="D17" s="58">
        <v>2838610091.8103971</v>
      </c>
      <c r="E17" s="58">
        <v>0</v>
      </c>
      <c r="F17" s="59">
        <f t="shared" si="0"/>
        <v>2838610091.8103971</v>
      </c>
      <c r="G17" s="60">
        <v>24543400.530000001</v>
      </c>
      <c r="H17" s="60">
        <v>0</v>
      </c>
      <c r="I17" s="58">
        <f>84765545.46-G17-H17</f>
        <v>60222144.929999992</v>
      </c>
      <c r="J17" s="61">
        <f t="shared" si="1"/>
        <v>2753844546.3503971</v>
      </c>
      <c r="K17" s="59">
        <v>425934383.60000002</v>
      </c>
      <c r="L17" s="59">
        <v>170373753.44</v>
      </c>
      <c r="M17" s="59">
        <v>62031977.789999999</v>
      </c>
      <c r="N17" s="59">
        <v>12988145.75</v>
      </c>
      <c r="O17" s="59">
        <v>97110057.609003276</v>
      </c>
      <c r="P17" s="61">
        <v>2039868302.0622001</v>
      </c>
      <c r="Q17" s="62">
        <v>0</v>
      </c>
      <c r="R17" s="62">
        <f t="shared" si="2"/>
        <v>2039868302.0622001</v>
      </c>
      <c r="S17" s="62">
        <f t="shared" si="3"/>
        <v>5646916712.0615997</v>
      </c>
      <c r="T17" s="63">
        <f t="shared" si="4"/>
        <v>5562151166.6016006</v>
      </c>
      <c r="U17" s="55">
        <v>8</v>
      </c>
    </row>
    <row r="18" spans="1:21" ht="18" customHeight="1" x14ac:dyDescent="0.25">
      <c r="A18" s="55">
        <v>9</v>
      </c>
      <c r="B18" s="56" t="s">
        <v>47</v>
      </c>
      <c r="C18" s="64">
        <v>18</v>
      </c>
      <c r="D18" s="58">
        <v>2297464790.0752916</v>
      </c>
      <c r="E18" s="58">
        <v>0</v>
      </c>
      <c r="F18" s="59">
        <f t="shared" si="0"/>
        <v>2297464790.0752916</v>
      </c>
      <c r="G18" s="60">
        <v>221816087.66999999</v>
      </c>
      <c r="H18" s="60">
        <v>633134951.91999996</v>
      </c>
      <c r="I18" s="58">
        <f>1416061593.03-G18-H18</f>
        <v>561110553.43999994</v>
      </c>
      <c r="J18" s="61">
        <f t="shared" si="1"/>
        <v>881403197.04529154</v>
      </c>
      <c r="K18" s="59">
        <v>344735352.00999999</v>
      </c>
      <c r="L18" s="59">
        <v>137894140.80000001</v>
      </c>
      <c r="M18" s="59">
        <v>100778559.08</v>
      </c>
      <c r="N18" s="59">
        <v>10512119.17</v>
      </c>
      <c r="O18" s="59">
        <v>78597246.857908085</v>
      </c>
      <c r="P18" s="61">
        <v>1736612195.2543001</v>
      </c>
      <c r="Q18" s="62">
        <v>0</v>
      </c>
      <c r="R18" s="62">
        <f t="shared" si="2"/>
        <v>1736612195.2543001</v>
      </c>
      <c r="S18" s="62">
        <f t="shared" si="3"/>
        <v>4706594403.2475004</v>
      </c>
      <c r="T18" s="63">
        <f t="shared" si="4"/>
        <v>3290532810.2174997</v>
      </c>
      <c r="U18" s="55">
        <v>9</v>
      </c>
    </row>
    <row r="19" spans="1:21" ht="18" customHeight="1" x14ac:dyDescent="0.25">
      <c r="A19" s="55">
        <v>10</v>
      </c>
      <c r="B19" s="56" t="s">
        <v>48</v>
      </c>
      <c r="C19" s="64">
        <v>25</v>
      </c>
      <c r="D19" s="58">
        <v>2319798375.0571032</v>
      </c>
      <c r="E19" s="58">
        <v>8406742876.4780998</v>
      </c>
      <c r="F19" s="59">
        <f t="shared" si="0"/>
        <v>10726541251.535202</v>
      </c>
      <c r="G19" s="60">
        <v>26519863.5</v>
      </c>
      <c r="H19" s="60">
        <v>0</v>
      </c>
      <c r="I19" s="58">
        <f>1018480839.67-G19-H19</f>
        <v>991960976.16999996</v>
      </c>
      <c r="J19" s="61">
        <f t="shared" si="1"/>
        <v>9708060411.865202</v>
      </c>
      <c r="K19" s="59">
        <v>348086513.81999999</v>
      </c>
      <c r="L19" s="59">
        <v>139234605.53</v>
      </c>
      <c r="M19" s="59">
        <v>53220677.520000003</v>
      </c>
      <c r="N19" s="59">
        <v>81298439.469999999</v>
      </c>
      <c r="O19" s="59">
        <v>79361288.291496694</v>
      </c>
      <c r="P19" s="61">
        <v>2283599611.7684999</v>
      </c>
      <c r="Q19" s="62">
        <v>0</v>
      </c>
      <c r="R19" s="62">
        <f t="shared" si="2"/>
        <v>2283599611.7684999</v>
      </c>
      <c r="S19" s="62">
        <f t="shared" si="3"/>
        <v>13711342387.935198</v>
      </c>
      <c r="T19" s="63">
        <f t="shared" si="4"/>
        <v>12692861548.265198</v>
      </c>
      <c r="U19" s="55">
        <v>10</v>
      </c>
    </row>
    <row r="20" spans="1:21" ht="18" customHeight="1" x14ac:dyDescent="0.25">
      <c r="A20" s="55">
        <v>11</v>
      </c>
      <c r="B20" s="56" t="s">
        <v>49</v>
      </c>
      <c r="C20" s="64">
        <v>13</v>
      </c>
      <c r="D20" s="58">
        <v>2044001674.9852171</v>
      </c>
      <c r="E20" s="58">
        <v>0</v>
      </c>
      <c r="F20" s="59">
        <f t="shared" si="0"/>
        <v>2044001674.9852171</v>
      </c>
      <c r="G20" s="60">
        <v>41682938.469999999</v>
      </c>
      <c r="H20" s="60">
        <v>0</v>
      </c>
      <c r="I20" s="58">
        <f>238611791.35-G20-H20</f>
        <v>196928852.88</v>
      </c>
      <c r="J20" s="61">
        <f t="shared" si="1"/>
        <v>1805389883.6352172</v>
      </c>
      <c r="K20" s="59">
        <v>306703127.70999998</v>
      </c>
      <c r="L20" s="59">
        <v>122681251.09</v>
      </c>
      <c r="M20" s="59">
        <v>77862756.769999996</v>
      </c>
      <c r="N20" s="59">
        <v>9352391.0700000003</v>
      </c>
      <c r="O20" s="59">
        <v>69926165.972282931</v>
      </c>
      <c r="P20" s="61">
        <v>1741273784.1120999</v>
      </c>
      <c r="Q20" s="62">
        <v>0</v>
      </c>
      <c r="R20" s="62">
        <f t="shared" si="2"/>
        <v>1741273784.1120999</v>
      </c>
      <c r="S20" s="62">
        <f t="shared" si="3"/>
        <v>4371801151.7096004</v>
      </c>
      <c r="T20" s="63">
        <f t="shared" si="4"/>
        <v>4133189360.3596001</v>
      </c>
      <c r="U20" s="55">
        <v>11</v>
      </c>
    </row>
    <row r="21" spans="1:21" ht="18" customHeight="1" x14ac:dyDescent="0.25">
      <c r="A21" s="55">
        <v>12</v>
      </c>
      <c r="B21" s="56" t="s">
        <v>50</v>
      </c>
      <c r="C21" s="64">
        <v>18</v>
      </c>
      <c r="D21" s="58">
        <v>2136309341.3031814</v>
      </c>
      <c r="E21" s="58">
        <v>782328636.00010002</v>
      </c>
      <c r="F21" s="59">
        <f t="shared" si="0"/>
        <v>2918637977.3032813</v>
      </c>
      <c r="G21" s="60">
        <v>91028172.920000002</v>
      </c>
      <c r="H21" s="60">
        <v>0</v>
      </c>
      <c r="I21" s="58">
        <f>484434721.11-G21-H21</f>
        <v>393406548.19</v>
      </c>
      <c r="J21" s="61">
        <f t="shared" si="1"/>
        <v>2434203256.1932812</v>
      </c>
      <c r="K21" s="59">
        <v>320553923.58999997</v>
      </c>
      <c r="L21" s="59">
        <v>128221569.44</v>
      </c>
      <c r="M21" s="59">
        <v>82873568.609999999</v>
      </c>
      <c r="N21" s="59">
        <v>15802522.130000001</v>
      </c>
      <c r="O21" s="59">
        <v>73084050.466618866</v>
      </c>
      <c r="P21" s="61">
        <v>1915044208.4473</v>
      </c>
      <c r="Q21" s="62">
        <v>0</v>
      </c>
      <c r="R21" s="62">
        <f t="shared" si="2"/>
        <v>1915044208.4473</v>
      </c>
      <c r="S21" s="62">
        <f t="shared" si="3"/>
        <v>5454217819.9872007</v>
      </c>
      <c r="T21" s="63">
        <f t="shared" si="4"/>
        <v>4969783098.8772011</v>
      </c>
      <c r="U21" s="55">
        <v>12</v>
      </c>
    </row>
    <row r="22" spans="1:21" ht="18" customHeight="1" x14ac:dyDescent="0.25">
      <c r="A22" s="55">
        <v>13</v>
      </c>
      <c r="B22" s="56" t="s">
        <v>51</v>
      </c>
      <c r="C22" s="64">
        <v>16</v>
      </c>
      <c r="D22" s="58">
        <v>2042848256.751931</v>
      </c>
      <c r="E22" s="58">
        <v>0</v>
      </c>
      <c r="F22" s="59">
        <f t="shared" si="0"/>
        <v>2042848256.751931</v>
      </c>
      <c r="G22" s="60">
        <v>99000874.819999993</v>
      </c>
      <c r="H22" s="60">
        <v>491490204.30000001</v>
      </c>
      <c r="I22" s="58">
        <f>948293664.43-G22-H22</f>
        <v>357802585.30999988</v>
      </c>
      <c r="J22" s="61">
        <f t="shared" si="1"/>
        <v>1094554592.3219311</v>
      </c>
      <c r="K22" s="59">
        <v>306530056.93000001</v>
      </c>
      <c r="L22" s="59">
        <v>122612022.77</v>
      </c>
      <c r="M22" s="59">
        <v>47837241.799999997</v>
      </c>
      <c r="N22" s="59">
        <v>9347113.5700000003</v>
      </c>
      <c r="O22" s="59">
        <v>69886707.044568866</v>
      </c>
      <c r="P22" s="61">
        <v>1831940630.2751</v>
      </c>
      <c r="Q22" s="62">
        <v>0</v>
      </c>
      <c r="R22" s="62">
        <f t="shared" si="2"/>
        <v>1831940630.2751</v>
      </c>
      <c r="S22" s="62">
        <f t="shared" si="3"/>
        <v>4431002029.1416006</v>
      </c>
      <c r="T22" s="63">
        <f t="shared" si="4"/>
        <v>3482708364.7115998</v>
      </c>
      <c r="U22" s="55">
        <v>13</v>
      </c>
    </row>
    <row r="23" spans="1:21" ht="18" customHeight="1" x14ac:dyDescent="0.25">
      <c r="A23" s="55">
        <v>14</v>
      </c>
      <c r="B23" s="56" t="s">
        <v>52</v>
      </c>
      <c r="C23" s="64">
        <v>17</v>
      </c>
      <c r="D23" s="58">
        <v>2297663076.7985406</v>
      </c>
      <c r="E23" s="58">
        <v>0</v>
      </c>
      <c r="F23" s="59">
        <f t="shared" si="0"/>
        <v>2297663076.7985406</v>
      </c>
      <c r="G23" s="60">
        <v>97607572.599999994</v>
      </c>
      <c r="H23" s="60">
        <v>0</v>
      </c>
      <c r="I23" s="58">
        <f>177028684.53-G23-H23</f>
        <v>79421111.930000007</v>
      </c>
      <c r="J23" s="61">
        <f t="shared" si="1"/>
        <v>2120634392.2685406</v>
      </c>
      <c r="K23" s="59">
        <v>344765105</v>
      </c>
      <c r="L23" s="59">
        <v>137906042</v>
      </c>
      <c r="M23" s="59">
        <v>51264081.899999999</v>
      </c>
      <c r="N23" s="84">
        <v>10513026.439999999</v>
      </c>
      <c r="O23" s="59">
        <v>78604030.330859572</v>
      </c>
      <c r="P23" s="61">
        <v>1871210524.5648</v>
      </c>
      <c r="Q23" s="62">
        <v>0</v>
      </c>
      <c r="R23" s="62">
        <f t="shared" si="2"/>
        <v>1871210524.5648</v>
      </c>
      <c r="S23" s="62">
        <f t="shared" si="3"/>
        <v>4791925887.0342007</v>
      </c>
      <c r="T23" s="63">
        <f t="shared" si="4"/>
        <v>4614897202.5042</v>
      </c>
      <c r="U23" s="55">
        <v>14</v>
      </c>
    </row>
    <row r="24" spans="1:21" ht="18" customHeight="1" x14ac:dyDescent="0.25">
      <c r="A24" s="55">
        <v>15</v>
      </c>
      <c r="B24" s="56" t="s">
        <v>53</v>
      </c>
      <c r="C24" s="64">
        <v>11</v>
      </c>
      <c r="D24" s="58">
        <v>2152013814.2871633</v>
      </c>
      <c r="E24" s="58">
        <v>0</v>
      </c>
      <c r="F24" s="59">
        <f t="shared" si="0"/>
        <v>2152013814.2871633</v>
      </c>
      <c r="G24" s="60">
        <v>57175560.829999998</v>
      </c>
      <c r="H24" s="60">
        <v>526362473.37</v>
      </c>
      <c r="I24" s="58">
        <f>611400021.1-G24-H24</f>
        <v>27861986.899999976</v>
      </c>
      <c r="J24" s="61">
        <f t="shared" si="1"/>
        <v>1540613793.1871634</v>
      </c>
      <c r="K24" s="59">
        <v>322910384.95999998</v>
      </c>
      <c r="L24" s="59">
        <v>129164153.98</v>
      </c>
      <c r="M24" s="59">
        <v>68872689.75</v>
      </c>
      <c r="N24" s="59">
        <v>9846603.8599999994</v>
      </c>
      <c r="O24" s="59">
        <v>73621307.161436826</v>
      </c>
      <c r="P24" s="61">
        <v>1788506263.5062001</v>
      </c>
      <c r="Q24" s="62">
        <v>0</v>
      </c>
      <c r="R24" s="62">
        <f t="shared" si="2"/>
        <v>1788506263.5062001</v>
      </c>
      <c r="S24" s="62">
        <f t="shared" si="3"/>
        <v>4544935217.5048008</v>
      </c>
      <c r="T24" s="63">
        <f t="shared" si="4"/>
        <v>3933535196.4048004</v>
      </c>
      <c r="U24" s="55">
        <v>15</v>
      </c>
    </row>
    <row r="25" spans="1:21" ht="18" customHeight="1" x14ac:dyDescent="0.25">
      <c r="A25" s="55">
        <v>16</v>
      </c>
      <c r="B25" s="56" t="s">
        <v>54</v>
      </c>
      <c r="C25" s="64">
        <v>27</v>
      </c>
      <c r="D25" s="58">
        <v>2375445338.738009</v>
      </c>
      <c r="E25" s="58">
        <v>588168475.44790006</v>
      </c>
      <c r="F25" s="59">
        <f t="shared" si="0"/>
        <v>2963613814.1859093</v>
      </c>
      <c r="G25" s="60">
        <v>55600505.689999998</v>
      </c>
      <c r="H25" s="60">
        <v>0</v>
      </c>
      <c r="I25" s="58">
        <f>581053077.43-G25-H25</f>
        <v>525452571.73999995</v>
      </c>
      <c r="J25" s="61">
        <f t="shared" si="1"/>
        <v>2382560736.7559094</v>
      </c>
      <c r="K25" s="59">
        <v>356436359.13999999</v>
      </c>
      <c r="L25" s="59">
        <v>142574543.66</v>
      </c>
      <c r="M25" s="59">
        <v>51393755.960000001</v>
      </c>
      <c r="N25" s="59">
        <v>15925387.99</v>
      </c>
      <c r="O25" s="59">
        <v>81264994.568191022</v>
      </c>
      <c r="P25" s="61">
        <v>1927752892.4410999</v>
      </c>
      <c r="Q25" s="62">
        <v>0</v>
      </c>
      <c r="R25" s="62">
        <f t="shared" si="2"/>
        <v>1927752892.4410999</v>
      </c>
      <c r="S25" s="62">
        <f t="shared" si="3"/>
        <v>5538961747.9452</v>
      </c>
      <c r="T25" s="63">
        <f t="shared" si="4"/>
        <v>4957908670.5151997</v>
      </c>
      <c r="U25" s="55">
        <v>16</v>
      </c>
    </row>
    <row r="26" spans="1:21" ht="18" customHeight="1" x14ac:dyDescent="0.25">
      <c r="A26" s="55">
        <v>17</v>
      </c>
      <c r="B26" s="56" t="s">
        <v>55</v>
      </c>
      <c r="C26" s="64">
        <v>27</v>
      </c>
      <c r="D26" s="58">
        <v>2555011818.1214972</v>
      </c>
      <c r="E26" s="58">
        <v>0</v>
      </c>
      <c r="F26" s="59">
        <f t="shared" si="0"/>
        <v>2555011818.1214972</v>
      </c>
      <c r="G26" s="60">
        <v>35446402.5</v>
      </c>
      <c r="H26" s="60">
        <v>0</v>
      </c>
      <c r="I26" s="58">
        <f>109474218.46-G26-H26</f>
        <v>74027815.959999993</v>
      </c>
      <c r="J26" s="61">
        <f t="shared" si="1"/>
        <v>2445537599.6614971</v>
      </c>
      <c r="K26" s="59">
        <v>383380368.79000002</v>
      </c>
      <c r="L26" s="59">
        <v>153352147.52000001</v>
      </c>
      <c r="M26" s="59">
        <v>55901042.310000002</v>
      </c>
      <c r="N26" s="59">
        <v>11690533.33</v>
      </c>
      <c r="O26" s="59">
        <v>87408040.141103014</v>
      </c>
      <c r="P26" s="61">
        <v>2034612500.0455999</v>
      </c>
      <c r="Q26" s="62">
        <v>0</v>
      </c>
      <c r="R26" s="62">
        <f t="shared" si="2"/>
        <v>2034612500.0455999</v>
      </c>
      <c r="S26" s="62">
        <f t="shared" si="3"/>
        <v>5281356450.2581997</v>
      </c>
      <c r="T26" s="63">
        <f t="shared" si="4"/>
        <v>5171882231.7981997</v>
      </c>
      <c r="U26" s="55">
        <v>17</v>
      </c>
    </row>
    <row r="27" spans="1:21" ht="18" customHeight="1" x14ac:dyDescent="0.25">
      <c r="A27" s="55">
        <v>18</v>
      </c>
      <c r="B27" s="56" t="s">
        <v>56</v>
      </c>
      <c r="C27" s="64">
        <v>23</v>
      </c>
      <c r="D27" s="58">
        <v>2993493519.4817815</v>
      </c>
      <c r="E27" s="58">
        <v>0</v>
      </c>
      <c r="F27" s="59">
        <f t="shared" si="0"/>
        <v>2993493519.4817815</v>
      </c>
      <c r="G27" s="60">
        <v>499421870.93000001</v>
      </c>
      <c r="H27" s="60">
        <v>0</v>
      </c>
      <c r="I27" s="58">
        <f>500198670.52-G27-H27</f>
        <v>776799.58999997377</v>
      </c>
      <c r="J27" s="61">
        <f t="shared" si="1"/>
        <v>2493294848.9617815</v>
      </c>
      <c r="K27" s="59">
        <v>449174693.18000001</v>
      </c>
      <c r="L27" s="59">
        <v>179669877.27000001</v>
      </c>
      <c r="M27" s="59">
        <v>89570836.060000002</v>
      </c>
      <c r="N27" s="59">
        <v>13696819.529999999</v>
      </c>
      <c r="O27" s="59">
        <v>102408685.49291858</v>
      </c>
      <c r="P27" s="61">
        <v>2768392182.9305</v>
      </c>
      <c r="Q27" s="62">
        <v>0</v>
      </c>
      <c r="R27" s="62">
        <f t="shared" si="2"/>
        <v>2768392182.9305</v>
      </c>
      <c r="S27" s="62">
        <f t="shared" si="3"/>
        <v>6596406613.9452</v>
      </c>
      <c r="T27" s="63">
        <f t="shared" si="4"/>
        <v>6096207943.4251995</v>
      </c>
      <c r="U27" s="55">
        <v>18</v>
      </c>
    </row>
    <row r="28" spans="1:21" ht="18" customHeight="1" x14ac:dyDescent="0.25">
      <c r="A28" s="55">
        <v>19</v>
      </c>
      <c r="B28" s="56" t="s">
        <v>57</v>
      </c>
      <c r="C28" s="64">
        <v>44</v>
      </c>
      <c r="D28" s="58">
        <v>3623957170.6008759</v>
      </c>
      <c r="E28" s="58">
        <v>0</v>
      </c>
      <c r="F28" s="59">
        <f t="shared" si="0"/>
        <v>3623957170.6008759</v>
      </c>
      <c r="G28" s="60">
        <v>88827869.689999998</v>
      </c>
      <c r="H28" s="60">
        <v>585230380</v>
      </c>
      <c r="I28" s="58">
        <f>935664698.43-G28-H28</f>
        <v>261606448.74000001</v>
      </c>
      <c r="J28" s="61">
        <f t="shared" si="1"/>
        <v>2688292472.1708755</v>
      </c>
      <c r="K28" s="59">
        <v>543775972.65999997</v>
      </c>
      <c r="L28" s="59">
        <v>217510389.06</v>
      </c>
      <c r="M28" s="59">
        <v>89014620.019999996</v>
      </c>
      <c r="N28" s="59">
        <v>16581524.91</v>
      </c>
      <c r="O28" s="59">
        <v>123977114.93582425</v>
      </c>
      <c r="P28" s="61">
        <v>3384803106.1785002</v>
      </c>
      <c r="Q28" s="62">
        <v>0</v>
      </c>
      <c r="R28" s="62">
        <f t="shared" si="2"/>
        <v>3384803106.1785002</v>
      </c>
      <c r="S28" s="62">
        <f t="shared" si="3"/>
        <v>7999619898.365201</v>
      </c>
      <c r="T28" s="63">
        <f t="shared" si="4"/>
        <v>7063955199.9351997</v>
      </c>
      <c r="U28" s="55">
        <v>19</v>
      </c>
    </row>
    <row r="29" spans="1:21" ht="18" customHeight="1" x14ac:dyDescent="0.25">
      <c r="A29" s="55">
        <v>20</v>
      </c>
      <c r="B29" s="56" t="s">
        <v>58</v>
      </c>
      <c r="C29" s="64">
        <v>34</v>
      </c>
      <c r="D29" s="58">
        <v>2808463669.5647454</v>
      </c>
      <c r="E29" s="58">
        <v>0</v>
      </c>
      <c r="F29" s="59">
        <f t="shared" si="0"/>
        <v>2808463669.5647454</v>
      </c>
      <c r="G29" s="60">
        <v>131780920.95999999</v>
      </c>
      <c r="H29" s="60">
        <v>0</v>
      </c>
      <c r="I29" s="58">
        <f>169023646.23-G29-H29</f>
        <v>37242725.269999996</v>
      </c>
      <c r="J29" s="61">
        <f t="shared" si="1"/>
        <v>2639440023.3347454</v>
      </c>
      <c r="K29" s="59">
        <v>421410902.97000003</v>
      </c>
      <c r="L29" s="59">
        <v>168564361.19</v>
      </c>
      <c r="M29" s="59">
        <v>63734816.880000003</v>
      </c>
      <c r="N29" s="59">
        <v>12850209.890000001</v>
      </c>
      <c r="O29" s="59">
        <v>96078735.692254499</v>
      </c>
      <c r="P29" s="61">
        <v>2314584963.3738999</v>
      </c>
      <c r="Q29" s="62">
        <v>0</v>
      </c>
      <c r="R29" s="62">
        <f t="shared" si="2"/>
        <v>2314584963.3738999</v>
      </c>
      <c r="S29" s="62">
        <f t="shared" si="3"/>
        <v>5885687659.5608997</v>
      </c>
      <c r="T29" s="63">
        <f t="shared" si="4"/>
        <v>5716664013.3309002</v>
      </c>
      <c r="U29" s="55">
        <v>20</v>
      </c>
    </row>
    <row r="30" spans="1:21" ht="18" customHeight="1" x14ac:dyDescent="0.25">
      <c r="A30" s="55">
        <v>21</v>
      </c>
      <c r="B30" s="56" t="s">
        <v>59</v>
      </c>
      <c r="C30" s="64">
        <v>21</v>
      </c>
      <c r="D30" s="58">
        <v>2412484303.7226496</v>
      </c>
      <c r="E30" s="58">
        <v>0</v>
      </c>
      <c r="F30" s="59">
        <f t="shared" si="0"/>
        <v>2412484303.7226496</v>
      </c>
      <c r="G30" s="60">
        <v>60837586.390000001</v>
      </c>
      <c r="H30" s="60">
        <v>0</v>
      </c>
      <c r="I30" s="58">
        <f>98941949.54-G30-H30</f>
        <v>38104363.150000006</v>
      </c>
      <c r="J30" s="61">
        <f t="shared" si="1"/>
        <v>2313542354.1826496</v>
      </c>
      <c r="K30" s="59">
        <v>361994068.08999997</v>
      </c>
      <c r="L30" s="59">
        <v>144797627.24000001</v>
      </c>
      <c r="M30" s="59">
        <v>63225978.68</v>
      </c>
      <c r="N30" s="59">
        <v>11038394.41</v>
      </c>
      <c r="O30" s="59">
        <v>41266056.650575154</v>
      </c>
      <c r="P30" s="61">
        <v>1786398724.2018001</v>
      </c>
      <c r="Q30" s="62">
        <v>0</v>
      </c>
      <c r="R30" s="62">
        <f t="shared" si="2"/>
        <v>1786398724.2018001</v>
      </c>
      <c r="S30" s="62">
        <f t="shared" si="3"/>
        <v>4821205152.9950247</v>
      </c>
      <c r="T30" s="63">
        <f t="shared" si="4"/>
        <v>4722263203.4550247</v>
      </c>
      <c r="U30" s="55">
        <v>21</v>
      </c>
    </row>
    <row r="31" spans="1:21" ht="18" customHeight="1" x14ac:dyDescent="0.25">
      <c r="A31" s="55">
        <v>22</v>
      </c>
      <c r="B31" s="56" t="s">
        <v>60</v>
      </c>
      <c r="C31" s="64">
        <v>21</v>
      </c>
      <c r="D31" s="58">
        <v>2525142760.1329942</v>
      </c>
      <c r="E31" s="58">
        <v>0</v>
      </c>
      <c r="F31" s="59">
        <f t="shared" si="0"/>
        <v>2525142760.1329942</v>
      </c>
      <c r="G31" s="60">
        <v>46707847.82</v>
      </c>
      <c r="H31" s="60">
        <v>117593824.09999999</v>
      </c>
      <c r="I31" s="58">
        <f>320915047.38-G31-H31</f>
        <v>156613375.46000001</v>
      </c>
      <c r="J31" s="61">
        <f t="shared" si="1"/>
        <v>2204227712.7529941</v>
      </c>
      <c r="K31" s="59">
        <v>378898506.75999999</v>
      </c>
      <c r="L31" s="59">
        <v>151559402.69999999</v>
      </c>
      <c r="M31" s="59">
        <v>212572203.41999999</v>
      </c>
      <c r="N31" s="59">
        <v>11553866.560000001</v>
      </c>
      <c r="O31" s="59">
        <v>43193103.486702994</v>
      </c>
      <c r="P31" s="61">
        <v>1816317371.092</v>
      </c>
      <c r="Q31" s="62">
        <v>0</v>
      </c>
      <c r="R31" s="62">
        <f t="shared" si="2"/>
        <v>1816317371.092</v>
      </c>
      <c r="S31" s="62">
        <f t="shared" si="3"/>
        <v>5139237214.1516972</v>
      </c>
      <c r="T31" s="63">
        <f t="shared" si="4"/>
        <v>4818322166.7716961</v>
      </c>
      <c r="U31" s="55">
        <v>22</v>
      </c>
    </row>
    <row r="32" spans="1:21" ht="18" customHeight="1" x14ac:dyDescent="0.25">
      <c r="A32" s="55">
        <v>23</v>
      </c>
      <c r="B32" s="56" t="s">
        <v>61</v>
      </c>
      <c r="C32" s="64">
        <v>16</v>
      </c>
      <c r="D32" s="58">
        <v>2033740449.7240496</v>
      </c>
      <c r="E32" s="58">
        <v>0</v>
      </c>
      <c r="F32" s="59">
        <f t="shared" si="0"/>
        <v>2033740449.7240496</v>
      </c>
      <c r="G32" s="60">
        <v>45348106.890000001</v>
      </c>
      <c r="H32" s="60">
        <v>0</v>
      </c>
      <c r="I32" s="58">
        <f>292645517.21-G32-H32</f>
        <v>247297410.31999999</v>
      </c>
      <c r="J32" s="61">
        <f t="shared" si="1"/>
        <v>1741094932.5140495</v>
      </c>
      <c r="K32" s="59">
        <v>305163427.47000003</v>
      </c>
      <c r="L32" s="59">
        <v>122065370.98999999</v>
      </c>
      <c r="M32" s="59">
        <v>54461430.590000004</v>
      </c>
      <c r="N32" s="59">
        <v>9305440.5299999993</v>
      </c>
      <c r="O32" s="59">
        <v>34787562.547725305</v>
      </c>
      <c r="P32" s="61">
        <v>1702482663.951</v>
      </c>
      <c r="Q32" s="62">
        <v>0</v>
      </c>
      <c r="R32" s="62">
        <f t="shared" si="2"/>
        <v>1702482663.951</v>
      </c>
      <c r="S32" s="62">
        <f t="shared" si="3"/>
        <v>4262006345.8027754</v>
      </c>
      <c r="T32" s="63">
        <f t="shared" si="4"/>
        <v>3969360828.5927753</v>
      </c>
      <c r="U32" s="55">
        <v>23</v>
      </c>
    </row>
    <row r="33" spans="1:21" ht="18" customHeight="1" x14ac:dyDescent="0.25">
      <c r="A33" s="55">
        <v>24</v>
      </c>
      <c r="B33" s="56" t="s">
        <v>62</v>
      </c>
      <c r="C33" s="64">
        <v>20</v>
      </c>
      <c r="D33" s="58">
        <v>3060666927.2552772</v>
      </c>
      <c r="E33" s="58">
        <v>0</v>
      </c>
      <c r="F33" s="59">
        <f t="shared" si="0"/>
        <v>3060666927.2552772</v>
      </c>
      <c r="G33" s="60">
        <v>1624033480.1500001</v>
      </c>
      <c r="H33" s="60">
        <v>1000000000</v>
      </c>
      <c r="I33" s="58">
        <f>3624810279.74-G33-H33</f>
        <v>1000776799.5899997</v>
      </c>
      <c r="J33" s="61">
        <f t="shared" si="1"/>
        <v>-564143352.48472261</v>
      </c>
      <c r="K33" s="59">
        <v>459254085.24000001</v>
      </c>
      <c r="L33" s="59">
        <v>183701634.09999999</v>
      </c>
      <c r="M33" s="59">
        <v>86650874.120000005</v>
      </c>
      <c r="N33" s="59">
        <v>14004173.48</v>
      </c>
      <c r="O33" s="59">
        <v>104706716.32072304</v>
      </c>
      <c r="P33" s="61">
        <v>10728490840.9774</v>
      </c>
      <c r="Q33" s="62">
        <v>1000000000</v>
      </c>
      <c r="R33" s="62">
        <f t="shared" si="2"/>
        <v>9728490840.9773998</v>
      </c>
      <c r="S33" s="62">
        <f t="shared" si="3"/>
        <v>14637475251.493401</v>
      </c>
      <c r="T33" s="63">
        <f t="shared" si="4"/>
        <v>10012664971.753401</v>
      </c>
      <c r="U33" s="55">
        <v>24</v>
      </c>
    </row>
    <row r="34" spans="1:21" ht="18" customHeight="1" x14ac:dyDescent="0.25">
      <c r="A34" s="55">
        <v>25</v>
      </c>
      <c r="B34" s="56" t="s">
        <v>63</v>
      </c>
      <c r="C34" s="64">
        <v>13</v>
      </c>
      <c r="D34" s="58">
        <v>2106959475.9236004</v>
      </c>
      <c r="E34" s="58">
        <v>0</v>
      </c>
      <c r="F34" s="59">
        <f t="shared" si="0"/>
        <v>2106959475.9236004</v>
      </c>
      <c r="G34" s="60">
        <v>34204952.520000003</v>
      </c>
      <c r="H34" s="60">
        <v>124722672.83</v>
      </c>
      <c r="I34" s="58">
        <f>159704424.94-G34-H34</f>
        <v>776799.58999998868</v>
      </c>
      <c r="J34" s="61">
        <f t="shared" si="1"/>
        <v>1947255050.9836006</v>
      </c>
      <c r="K34" s="59">
        <v>316149966.57999998</v>
      </c>
      <c r="L34" s="59">
        <v>126459986.63</v>
      </c>
      <c r="M34" s="59">
        <v>70209012.400000006</v>
      </c>
      <c r="N34" s="59">
        <v>9640456.3900000006</v>
      </c>
      <c r="O34" s="59">
        <v>72079979.098799706</v>
      </c>
      <c r="P34" s="61">
        <v>1570126642.3838</v>
      </c>
      <c r="Q34" s="62">
        <v>0</v>
      </c>
      <c r="R34" s="62">
        <f t="shared" si="2"/>
        <v>1570126642.3838</v>
      </c>
      <c r="S34" s="62">
        <f t="shared" si="3"/>
        <v>4271625519.4062004</v>
      </c>
      <c r="T34" s="63">
        <f t="shared" si="4"/>
        <v>4111921094.4662004</v>
      </c>
      <c r="U34" s="55">
        <v>25</v>
      </c>
    </row>
    <row r="35" spans="1:21" ht="18" customHeight="1" x14ac:dyDescent="0.25">
      <c r="A35" s="55">
        <v>26</v>
      </c>
      <c r="B35" s="56" t="s">
        <v>64</v>
      </c>
      <c r="C35" s="64">
        <v>25</v>
      </c>
      <c r="D35" s="58">
        <v>2706295636.524611</v>
      </c>
      <c r="E35" s="58">
        <v>0</v>
      </c>
      <c r="F35" s="59">
        <f t="shared" si="0"/>
        <v>2706295636.524611</v>
      </c>
      <c r="G35" s="60">
        <v>71360609.75</v>
      </c>
      <c r="H35" s="60">
        <v>275631992.38</v>
      </c>
      <c r="I35" s="58">
        <f>638619533.65-G35-H35</f>
        <v>291626931.51999998</v>
      </c>
      <c r="J35" s="61">
        <f t="shared" si="1"/>
        <v>2067676102.8746109</v>
      </c>
      <c r="K35" s="59">
        <v>406080555.80000001</v>
      </c>
      <c r="L35" s="59">
        <v>162432222.31999999</v>
      </c>
      <c r="M35" s="59">
        <v>81053821</v>
      </c>
      <c r="N35" s="59">
        <v>12382736.99</v>
      </c>
      <c r="O35" s="59">
        <v>46291761.9309946</v>
      </c>
      <c r="P35" s="61">
        <v>1981755671.1359</v>
      </c>
      <c r="Q35" s="62">
        <v>0</v>
      </c>
      <c r="R35" s="62">
        <f t="shared" si="2"/>
        <v>1981755671.1359</v>
      </c>
      <c r="S35" s="62">
        <f t="shared" si="3"/>
        <v>5396292405.7015057</v>
      </c>
      <c r="T35" s="63">
        <f t="shared" si="4"/>
        <v>4757672872.051506</v>
      </c>
      <c r="U35" s="55">
        <v>26</v>
      </c>
    </row>
    <row r="36" spans="1:21" ht="18" customHeight="1" x14ac:dyDescent="0.25">
      <c r="A36" s="55">
        <v>27</v>
      </c>
      <c r="B36" s="56" t="s">
        <v>65</v>
      </c>
      <c r="C36" s="64">
        <v>20</v>
      </c>
      <c r="D36" s="58">
        <v>2122607867.6688998</v>
      </c>
      <c r="E36" s="58">
        <v>0</v>
      </c>
      <c r="F36" s="59">
        <f t="shared" si="0"/>
        <v>2122607867.6688998</v>
      </c>
      <c r="G36" s="60">
        <v>115070808.52</v>
      </c>
      <c r="H36" s="60">
        <v>0</v>
      </c>
      <c r="I36" s="58">
        <f>1003967544.4-G36-H36</f>
        <v>888896735.88</v>
      </c>
      <c r="J36" s="61">
        <f t="shared" si="1"/>
        <v>1118640323.2688999</v>
      </c>
      <c r="K36" s="59">
        <v>318498012.94</v>
      </c>
      <c r="L36" s="59">
        <v>127399205.18000001</v>
      </c>
      <c r="M36" s="59">
        <v>268466759.41000003</v>
      </c>
      <c r="N36" s="59">
        <v>9712056.0700000003</v>
      </c>
      <c r="O36" s="59">
        <v>72615317.230700314</v>
      </c>
      <c r="P36" s="61">
        <v>2192112491.441</v>
      </c>
      <c r="Q36" s="62">
        <v>0</v>
      </c>
      <c r="R36" s="62">
        <f t="shared" si="2"/>
        <v>2192112491.441</v>
      </c>
      <c r="S36" s="62">
        <f t="shared" si="3"/>
        <v>5111411709.9405994</v>
      </c>
      <c r="T36" s="63">
        <f t="shared" si="4"/>
        <v>4107444165.5406003</v>
      </c>
      <c r="U36" s="55">
        <v>27</v>
      </c>
    </row>
    <row r="37" spans="1:21" ht="18" customHeight="1" x14ac:dyDescent="0.25">
      <c r="A37" s="55">
        <v>28</v>
      </c>
      <c r="B37" s="56" t="s">
        <v>66</v>
      </c>
      <c r="C37" s="64">
        <v>18</v>
      </c>
      <c r="D37" s="58">
        <v>2126812991.5727692</v>
      </c>
      <c r="E37" s="58">
        <v>656441279.90120006</v>
      </c>
      <c r="F37" s="59">
        <f t="shared" si="0"/>
        <v>2783254271.4739695</v>
      </c>
      <c r="G37" s="60">
        <v>84587125.640000001</v>
      </c>
      <c r="H37" s="60">
        <v>951959613.62</v>
      </c>
      <c r="I37" s="58">
        <f>1190580805.11-G37-H37</f>
        <v>154034065.84999979</v>
      </c>
      <c r="J37" s="61">
        <f t="shared" si="1"/>
        <v>1592673466.3639698</v>
      </c>
      <c r="K37" s="59">
        <v>319128993.17000002</v>
      </c>
      <c r="L37" s="59">
        <v>127651597.27</v>
      </c>
      <c r="M37" s="59">
        <v>79253533.450000003</v>
      </c>
      <c r="N37" s="59">
        <v>15255574.039999999</v>
      </c>
      <c r="O37" s="59">
        <v>72759176.306430534</v>
      </c>
      <c r="P37" s="61">
        <v>1945198250.3180001</v>
      </c>
      <c r="Q37" s="62">
        <v>0</v>
      </c>
      <c r="R37" s="62">
        <f t="shared" si="2"/>
        <v>1945198250.3180001</v>
      </c>
      <c r="S37" s="62">
        <f t="shared" si="3"/>
        <v>5342501396.0283995</v>
      </c>
      <c r="T37" s="63">
        <f t="shared" si="4"/>
        <v>4151920590.9184008</v>
      </c>
      <c r="U37" s="55">
        <v>28</v>
      </c>
    </row>
    <row r="38" spans="1:21" ht="18" customHeight="1" x14ac:dyDescent="0.25">
      <c r="A38" s="55">
        <v>29</v>
      </c>
      <c r="B38" s="56" t="s">
        <v>67</v>
      </c>
      <c r="C38" s="64">
        <v>30</v>
      </c>
      <c r="D38" s="58">
        <v>2083696246.3855836</v>
      </c>
      <c r="E38" s="58">
        <v>0</v>
      </c>
      <c r="F38" s="59">
        <f t="shared" si="0"/>
        <v>2083696246.3855836</v>
      </c>
      <c r="G38" s="60">
        <v>161618795.03999999</v>
      </c>
      <c r="H38" s="60">
        <v>0</v>
      </c>
      <c r="I38" s="58">
        <f>1404666538.64-G38-H38</f>
        <v>1243047743.6000001</v>
      </c>
      <c r="J38" s="61">
        <f t="shared" si="1"/>
        <v>679029707.74558353</v>
      </c>
      <c r="K38" s="59">
        <v>312659311.29000002</v>
      </c>
      <c r="L38" s="59">
        <v>125063724.52</v>
      </c>
      <c r="M38" s="59">
        <v>61569268.229999997</v>
      </c>
      <c r="N38" s="59">
        <v>9534014.7799999993</v>
      </c>
      <c r="O38" s="59">
        <v>71284134.129816175</v>
      </c>
      <c r="P38" s="61">
        <v>1854565516.6654</v>
      </c>
      <c r="Q38" s="62">
        <v>0</v>
      </c>
      <c r="R38" s="62">
        <f t="shared" si="2"/>
        <v>1854565516.6654</v>
      </c>
      <c r="S38" s="62">
        <f t="shared" si="3"/>
        <v>4518372216.0008001</v>
      </c>
      <c r="T38" s="63">
        <f t="shared" si="4"/>
        <v>3113705677.3607998</v>
      </c>
      <c r="U38" s="55">
        <v>29</v>
      </c>
    </row>
    <row r="39" spans="1:21" ht="18" customHeight="1" x14ac:dyDescent="0.25">
      <c r="A39" s="55">
        <v>30</v>
      </c>
      <c r="B39" s="56" t="s">
        <v>68</v>
      </c>
      <c r="C39" s="64">
        <v>33</v>
      </c>
      <c r="D39" s="58">
        <v>2562536978.236362</v>
      </c>
      <c r="E39" s="58">
        <v>0</v>
      </c>
      <c r="F39" s="59">
        <f t="shared" si="0"/>
        <v>2562536978.236362</v>
      </c>
      <c r="G39" s="60">
        <v>359936332.60000002</v>
      </c>
      <c r="H39" s="60">
        <v>0</v>
      </c>
      <c r="I39" s="58">
        <f>826273165.66-G39-H39</f>
        <v>466336833.05999994</v>
      </c>
      <c r="J39" s="61">
        <f t="shared" si="1"/>
        <v>1736263812.5763621</v>
      </c>
      <c r="K39" s="59">
        <v>384509521.56</v>
      </c>
      <c r="L39" s="59">
        <v>153803808.62</v>
      </c>
      <c r="M39" s="59">
        <v>93777316.849999994</v>
      </c>
      <c r="N39" s="59">
        <v>11724964.93</v>
      </c>
      <c r="O39" s="59">
        <v>87665479.066737726</v>
      </c>
      <c r="P39" s="61">
        <v>3657092408.7976999</v>
      </c>
      <c r="Q39" s="62">
        <v>0</v>
      </c>
      <c r="R39" s="62">
        <f t="shared" si="2"/>
        <v>3657092408.7976999</v>
      </c>
      <c r="S39" s="62">
        <f t="shared" si="3"/>
        <v>6951110478.0607986</v>
      </c>
      <c r="T39" s="63">
        <f t="shared" si="4"/>
        <v>6124837312.4007988</v>
      </c>
      <c r="U39" s="55">
        <v>30</v>
      </c>
    </row>
    <row r="40" spans="1:21" ht="18" customHeight="1" x14ac:dyDescent="0.25">
      <c r="A40" s="55">
        <v>31</v>
      </c>
      <c r="B40" s="56" t="s">
        <v>69</v>
      </c>
      <c r="C40" s="64">
        <v>17</v>
      </c>
      <c r="D40" s="58">
        <v>2385806372.2933836</v>
      </c>
      <c r="E40" s="58">
        <v>0</v>
      </c>
      <c r="F40" s="59">
        <f t="shared" si="0"/>
        <v>2385806372.2933836</v>
      </c>
      <c r="G40" s="60">
        <v>30016657.489999998</v>
      </c>
      <c r="H40" s="60">
        <v>400864283.55500001</v>
      </c>
      <c r="I40" s="58">
        <f>1420829787.69-G40-H40</f>
        <v>989948846.64499998</v>
      </c>
      <c r="J40" s="61">
        <f t="shared" si="1"/>
        <v>964976584.60338378</v>
      </c>
      <c r="K40" s="59">
        <v>357991035.64999998</v>
      </c>
      <c r="L40" s="59">
        <v>143196414.25999999</v>
      </c>
      <c r="M40" s="59">
        <v>79376644.840000004</v>
      </c>
      <c r="N40" s="59">
        <v>10916328.74</v>
      </c>
      <c r="O40" s="59">
        <v>40809724.964708395</v>
      </c>
      <c r="P40" s="61">
        <v>1929391378.8573999</v>
      </c>
      <c r="Q40" s="62">
        <v>0</v>
      </c>
      <c r="R40" s="62">
        <f t="shared" si="2"/>
        <v>1929391378.8573999</v>
      </c>
      <c r="S40" s="62">
        <f t="shared" si="3"/>
        <v>4947487899.6054916</v>
      </c>
      <c r="T40" s="63">
        <f t="shared" si="4"/>
        <v>3526658111.9154921</v>
      </c>
      <c r="U40" s="55">
        <v>31</v>
      </c>
    </row>
    <row r="41" spans="1:21" ht="18" customHeight="1" x14ac:dyDescent="0.25">
      <c r="A41" s="55">
        <v>32</v>
      </c>
      <c r="B41" s="56" t="s">
        <v>70</v>
      </c>
      <c r="C41" s="64">
        <v>23</v>
      </c>
      <c r="D41" s="58">
        <v>2463973445.0269389</v>
      </c>
      <c r="E41" s="58">
        <v>4011660776.6071</v>
      </c>
      <c r="F41" s="59">
        <f t="shared" si="0"/>
        <v>6475634221.6340389</v>
      </c>
      <c r="G41" s="60">
        <v>235396084.11000001</v>
      </c>
      <c r="H41" s="60">
        <v>0</v>
      </c>
      <c r="I41" s="58">
        <f>542807452.24-G41-H41</f>
        <v>307411368.13</v>
      </c>
      <c r="J41" s="61">
        <f t="shared" si="1"/>
        <v>5932826769.3940392</v>
      </c>
      <c r="K41" s="59">
        <v>369720030.77999997</v>
      </c>
      <c r="L41" s="59">
        <v>147888012.31</v>
      </c>
      <c r="M41" s="59">
        <v>55071954.710000001</v>
      </c>
      <c r="N41" s="59">
        <v>43390431.450000003</v>
      </c>
      <c r="O41" s="59">
        <v>84293578.707461402</v>
      </c>
      <c r="P41" s="61">
        <v>4826344864.4167004</v>
      </c>
      <c r="Q41" s="62">
        <v>0</v>
      </c>
      <c r="R41" s="62">
        <f t="shared" si="2"/>
        <v>4826344864.4167004</v>
      </c>
      <c r="S41" s="62">
        <f t="shared" si="3"/>
        <v>12002343094.008202</v>
      </c>
      <c r="T41" s="63">
        <f t="shared" si="4"/>
        <v>11459535641.7682</v>
      </c>
      <c r="U41" s="55">
        <v>32</v>
      </c>
    </row>
    <row r="42" spans="1:21" ht="18" customHeight="1" x14ac:dyDescent="0.25">
      <c r="A42" s="55">
        <v>33</v>
      </c>
      <c r="B42" s="56" t="s">
        <v>71</v>
      </c>
      <c r="C42" s="64">
        <v>23</v>
      </c>
      <c r="D42" s="58">
        <v>2517957174.610045</v>
      </c>
      <c r="E42" s="58">
        <v>0</v>
      </c>
      <c r="F42" s="59">
        <f t="shared" si="0"/>
        <v>2517957174.610045</v>
      </c>
      <c r="G42" s="60">
        <v>49319478.219999999</v>
      </c>
      <c r="H42" s="60">
        <v>0</v>
      </c>
      <c r="I42" s="58">
        <f>401884463.14-G42-H42</f>
        <v>352564984.91999996</v>
      </c>
      <c r="J42" s="61">
        <f t="shared" si="1"/>
        <v>2116072711.4700451</v>
      </c>
      <c r="K42" s="59">
        <v>377820307.26999998</v>
      </c>
      <c r="L42" s="59">
        <v>151128122.91</v>
      </c>
      <c r="M42" s="59">
        <v>64621513.119999997</v>
      </c>
      <c r="N42" s="59">
        <v>11520988.699999999</v>
      </c>
      <c r="O42" s="59">
        <v>86140385.038755074</v>
      </c>
      <c r="P42" s="61">
        <v>1921931857.6677001</v>
      </c>
      <c r="Q42" s="62">
        <v>0</v>
      </c>
      <c r="R42" s="62">
        <f t="shared" si="2"/>
        <v>1921931857.6677001</v>
      </c>
      <c r="S42" s="62">
        <f t="shared" si="3"/>
        <v>5131120349.3164997</v>
      </c>
      <c r="T42" s="63">
        <f t="shared" si="4"/>
        <v>4729235886.1764994</v>
      </c>
      <c r="U42" s="55">
        <v>33</v>
      </c>
    </row>
    <row r="43" spans="1:21" ht="18" customHeight="1" x14ac:dyDescent="0.25">
      <c r="A43" s="55">
        <v>34</v>
      </c>
      <c r="B43" s="56" t="s">
        <v>72</v>
      </c>
      <c r="C43" s="64">
        <v>16</v>
      </c>
      <c r="D43" s="58">
        <v>2200799773.1646628</v>
      </c>
      <c r="E43" s="58">
        <v>0</v>
      </c>
      <c r="F43" s="59">
        <f t="shared" si="0"/>
        <v>2200799773.1646628</v>
      </c>
      <c r="G43" s="60">
        <v>76381878.329999998</v>
      </c>
      <c r="H43" s="60">
        <v>0</v>
      </c>
      <c r="I43" s="58">
        <f>789587346.03-G43-H43</f>
        <v>713205467.69999993</v>
      </c>
      <c r="J43" s="61">
        <f t="shared" si="1"/>
        <v>1411212427.1346631</v>
      </c>
      <c r="K43" s="59">
        <v>330230734.23000002</v>
      </c>
      <c r="L43" s="59">
        <v>132092293.69</v>
      </c>
      <c r="M43" s="59">
        <v>52460563.450000003</v>
      </c>
      <c r="N43" s="59">
        <v>10069825.48</v>
      </c>
      <c r="O43" s="59">
        <v>75290295.548136786</v>
      </c>
      <c r="P43" s="61">
        <v>1619370481.4496</v>
      </c>
      <c r="Q43" s="62">
        <v>0</v>
      </c>
      <c r="R43" s="62">
        <f t="shared" si="2"/>
        <v>1619370481.4496</v>
      </c>
      <c r="S43" s="62">
        <f t="shared" si="3"/>
        <v>4420313967.0123997</v>
      </c>
      <c r="T43" s="63">
        <f t="shared" si="4"/>
        <v>3630726620.9823999</v>
      </c>
      <c r="U43" s="55">
        <v>34</v>
      </c>
    </row>
    <row r="44" spans="1:21" ht="18" customHeight="1" x14ac:dyDescent="0.25">
      <c r="A44" s="55">
        <v>35</v>
      </c>
      <c r="B44" s="56" t="s">
        <v>73</v>
      </c>
      <c r="C44" s="64">
        <v>17</v>
      </c>
      <c r="D44" s="58">
        <v>2268742050.5901799</v>
      </c>
      <c r="E44" s="58">
        <v>0</v>
      </c>
      <c r="F44" s="59">
        <f t="shared" si="0"/>
        <v>2268742050.5901799</v>
      </c>
      <c r="G44" s="60">
        <v>44955919.229999997</v>
      </c>
      <c r="H44" s="60">
        <v>0</v>
      </c>
      <c r="I44" s="58">
        <f>224011231.73-G44-H44</f>
        <v>179055312.5</v>
      </c>
      <c r="J44" s="61">
        <f t="shared" si="1"/>
        <v>2044730818.8601799</v>
      </c>
      <c r="K44" s="59">
        <v>340425495.44</v>
      </c>
      <c r="L44" s="59">
        <v>136170198.18000001</v>
      </c>
      <c r="M44" s="59">
        <v>50566737.840000004</v>
      </c>
      <c r="N44" s="59">
        <v>10380697.41</v>
      </c>
      <c r="O44" s="59">
        <v>77614629.733220369</v>
      </c>
      <c r="P44" s="61">
        <v>1839089454.6812</v>
      </c>
      <c r="Q44" s="62">
        <v>0</v>
      </c>
      <c r="R44" s="62">
        <f t="shared" si="2"/>
        <v>1839089454.6812</v>
      </c>
      <c r="S44" s="62">
        <f t="shared" si="3"/>
        <v>4722989263.8746004</v>
      </c>
      <c r="T44" s="63">
        <f t="shared" si="4"/>
        <v>4498978032.1445999</v>
      </c>
      <c r="U44" s="55">
        <v>35</v>
      </c>
    </row>
    <row r="45" spans="1:21" ht="18" customHeight="1" x14ac:dyDescent="0.25">
      <c r="A45" s="55">
        <v>36</v>
      </c>
      <c r="B45" s="56" t="s">
        <v>74</v>
      </c>
      <c r="C45" s="64">
        <v>14</v>
      </c>
      <c r="D45" s="58">
        <v>2273573808.6973805</v>
      </c>
      <c r="E45" s="58">
        <v>0</v>
      </c>
      <c r="F45" s="59">
        <f t="shared" si="0"/>
        <v>2273573808.6973805</v>
      </c>
      <c r="G45" s="60">
        <v>37332162.299999997</v>
      </c>
      <c r="H45" s="60">
        <v>488822936.86000001</v>
      </c>
      <c r="I45" s="58">
        <f>769886906.28-G45-H45</f>
        <v>243731807.12</v>
      </c>
      <c r="J45" s="61">
        <f t="shared" si="1"/>
        <v>1503686902.4173803</v>
      </c>
      <c r="K45" s="59">
        <v>341150502.35000002</v>
      </c>
      <c r="L45" s="59">
        <v>136460200.94</v>
      </c>
      <c r="M45" s="59">
        <v>83090815.540000007</v>
      </c>
      <c r="N45" s="59">
        <v>10402805.27</v>
      </c>
      <c r="O45" s="59">
        <v>77779926.231519774</v>
      </c>
      <c r="P45" s="61">
        <v>1765937099.4754</v>
      </c>
      <c r="Q45" s="62">
        <v>0</v>
      </c>
      <c r="R45" s="62">
        <f t="shared" si="2"/>
        <v>1765937099.4754</v>
      </c>
      <c r="S45" s="62">
        <f t="shared" si="3"/>
        <v>4688395158.5043001</v>
      </c>
      <c r="T45" s="63">
        <f t="shared" si="4"/>
        <v>3918508252.2242999</v>
      </c>
      <c r="U45" s="55">
        <v>36</v>
      </c>
    </row>
    <row r="46" spans="1:21" ht="18" customHeight="1" x14ac:dyDescent="0.25">
      <c r="A46" s="55">
        <v>37</v>
      </c>
      <c r="B46" s="97" t="s">
        <v>140</v>
      </c>
      <c r="C46" s="97"/>
      <c r="D46" s="58"/>
      <c r="E46" s="58"/>
      <c r="F46" s="59">
        <f t="shared" si="0"/>
        <v>0</v>
      </c>
      <c r="G46" s="60">
        <v>0</v>
      </c>
      <c r="H46" s="60">
        <v>0</v>
      </c>
      <c r="I46" s="58">
        <v>0</v>
      </c>
      <c r="J46" s="61">
        <f t="shared" si="1"/>
        <v>0</v>
      </c>
      <c r="K46" s="59"/>
      <c r="L46" s="59">
        <v>0</v>
      </c>
      <c r="M46" s="59">
        <v>59232311.030000001</v>
      </c>
      <c r="N46" s="59"/>
      <c r="O46" s="59">
        <v>0</v>
      </c>
      <c r="P46" s="59">
        <v>0</v>
      </c>
      <c r="Q46" s="62">
        <v>0</v>
      </c>
      <c r="R46" s="62">
        <f t="shared" si="2"/>
        <v>0</v>
      </c>
      <c r="S46" s="62">
        <f>F46+K46+L46+M46+N46+O46+P46</f>
        <v>59232311.030000001</v>
      </c>
      <c r="T46" s="63">
        <f t="shared" si="4"/>
        <v>59232311.030000001</v>
      </c>
      <c r="U46" s="55">
        <v>37</v>
      </c>
    </row>
    <row r="47" spans="1:21" ht="18" customHeight="1" x14ac:dyDescent="0.25">
      <c r="A47" s="55">
        <v>38</v>
      </c>
      <c r="B47" s="97" t="s">
        <v>114</v>
      </c>
      <c r="C47" s="97"/>
      <c r="D47" s="58"/>
      <c r="E47" s="58">
        <v>154260689.98820001</v>
      </c>
      <c r="F47" s="59">
        <f t="shared" ref="F47" si="5">D47+E47</f>
        <v>154260689.98820001</v>
      </c>
      <c r="G47" s="60">
        <v>0</v>
      </c>
      <c r="H47" s="60">
        <v>0</v>
      </c>
      <c r="I47" s="58">
        <v>0</v>
      </c>
      <c r="J47" s="61">
        <f t="shared" ref="J47" si="6">F47-G47-H47-I47</f>
        <v>154260689.98820001</v>
      </c>
      <c r="K47" s="59"/>
      <c r="L47" s="59">
        <v>0</v>
      </c>
      <c r="M47" s="59">
        <v>0</v>
      </c>
      <c r="N47" s="59">
        <v>760371.34</v>
      </c>
      <c r="O47" s="59">
        <v>0</v>
      </c>
      <c r="P47" s="59">
        <v>0</v>
      </c>
      <c r="Q47" s="62">
        <v>0</v>
      </c>
      <c r="R47" s="62">
        <f t="shared" ref="R47" si="7">P47-Q47</f>
        <v>0</v>
      </c>
      <c r="S47" s="62">
        <f>F47+K47+L47+M47+N47+O47+P47</f>
        <v>155021061.32820001</v>
      </c>
      <c r="T47" s="63">
        <f t="shared" ref="T47:T48" si="8">J47+K47+L47+M47+N47+O47+R47</f>
        <v>155021061.32820001</v>
      </c>
      <c r="U47" s="55">
        <v>38</v>
      </c>
    </row>
    <row r="48" spans="1:21" ht="18" customHeight="1" thickBot="1" x14ac:dyDescent="0.3">
      <c r="A48" s="55">
        <v>39</v>
      </c>
      <c r="B48" s="90" t="s">
        <v>138</v>
      </c>
      <c r="C48" s="90"/>
      <c r="D48" s="92"/>
      <c r="E48" s="92"/>
      <c r="F48" s="93"/>
      <c r="G48" s="94"/>
      <c r="H48" s="94"/>
      <c r="I48" s="92"/>
      <c r="J48" s="95"/>
      <c r="K48" s="93"/>
      <c r="L48" s="93"/>
      <c r="M48" s="93"/>
      <c r="N48" s="93"/>
      <c r="O48" s="59">
        <v>250176106.65337574</v>
      </c>
      <c r="P48" s="93"/>
      <c r="Q48" s="96"/>
      <c r="R48" s="96"/>
      <c r="S48" s="62">
        <f t="shared" ref="S48" si="9">F48+K48+L48+M48+N48+O48+P48</f>
        <v>250176106.65337574</v>
      </c>
      <c r="T48" s="63">
        <f t="shared" si="8"/>
        <v>250176106.65337574</v>
      </c>
      <c r="U48" s="55">
        <v>39</v>
      </c>
    </row>
    <row r="49" spans="1:20" ht="18" customHeight="1" thickTop="1" thickBot="1" x14ac:dyDescent="0.35">
      <c r="A49" s="55"/>
      <c r="B49" s="109" t="s">
        <v>139</v>
      </c>
      <c r="C49" s="110"/>
      <c r="D49" s="65">
        <f>SUM(D10:D48)</f>
        <v>86637596338.977875</v>
      </c>
      <c r="E49" s="65">
        <f t="shared" ref="E49:T49" si="10">SUM(E10:E48)</f>
        <v>24666160491.506199</v>
      </c>
      <c r="F49" s="65">
        <f t="shared" si="10"/>
        <v>111303756830.48407</v>
      </c>
      <c r="G49" s="65">
        <f t="shared" si="10"/>
        <v>4996692048.3599997</v>
      </c>
      <c r="H49" s="65">
        <f t="shared" si="10"/>
        <v>5900924320.165</v>
      </c>
      <c r="I49" s="65">
        <f t="shared" si="10"/>
        <v>15516629308.434999</v>
      </c>
      <c r="J49" s="65">
        <f t="shared" si="10"/>
        <v>84889511153.524063</v>
      </c>
      <c r="K49" s="65">
        <f t="shared" si="10"/>
        <v>13000000001.010002</v>
      </c>
      <c r="L49" s="65">
        <f t="shared" si="10"/>
        <v>5200003000.0099993</v>
      </c>
      <c r="M49" s="65">
        <f t="shared" si="10"/>
        <v>2828243140.3800001</v>
      </c>
      <c r="N49" s="65">
        <f t="shared" si="10"/>
        <v>599662948.30000007</v>
      </c>
      <c r="O49" s="65">
        <f t="shared" si="10"/>
        <v>2963908990.4834251</v>
      </c>
      <c r="P49" s="65">
        <f t="shared" si="10"/>
        <v>84201213416.834808</v>
      </c>
      <c r="Q49" s="65">
        <f t="shared" si="10"/>
        <v>1000000000</v>
      </c>
      <c r="R49" s="65">
        <f t="shared" si="10"/>
        <v>83201213416.834808</v>
      </c>
      <c r="S49" s="65">
        <f t="shared" si="10"/>
        <v>220096788327.50232</v>
      </c>
      <c r="T49" s="65">
        <f t="shared" si="10"/>
        <v>192682542650.54227</v>
      </c>
    </row>
    <row r="50" spans="1:20" ht="13.8" thickTop="1" x14ac:dyDescent="0.25">
      <c r="B50" s="8" t="s">
        <v>23</v>
      </c>
      <c r="I50" s="21"/>
      <c r="J50" s="21"/>
      <c r="K50" s="66"/>
      <c r="L50" s="66"/>
      <c r="M50" s="8" t="s">
        <v>130</v>
      </c>
      <c r="P50" s="67"/>
      <c r="Q50" s="67"/>
      <c r="R50" s="67"/>
    </row>
    <row r="51" spans="1:20" x14ac:dyDescent="0.25">
      <c r="B51" s="8" t="s">
        <v>115</v>
      </c>
      <c r="I51" s="66"/>
      <c r="J51" s="21"/>
      <c r="R51" s="98"/>
    </row>
    <row r="52" spans="1:20" x14ac:dyDescent="0.25">
      <c r="C52" s="23" t="s">
        <v>33</v>
      </c>
    </row>
    <row r="53" spans="1:20" x14ac:dyDescent="0.25">
      <c r="C53" s="23"/>
      <c r="M53" s="66"/>
      <c r="N53" s="66"/>
      <c r="O53" s="98"/>
    </row>
    <row r="54" spans="1:20" x14ac:dyDescent="0.25">
      <c r="O54" s="66"/>
    </row>
    <row r="55" spans="1:20" x14ac:dyDescent="0.25">
      <c r="O55" s="98"/>
    </row>
    <row r="56" spans="1:20" ht="21" x14ac:dyDescent="0.4">
      <c r="A56" s="68" t="s">
        <v>116</v>
      </c>
      <c r="O56" s="66"/>
    </row>
  </sheetData>
  <mergeCells count="23">
    <mergeCell ref="L7:L8"/>
    <mergeCell ref="M7:M8"/>
    <mergeCell ref="A1:U1"/>
    <mergeCell ref="K7:K8"/>
    <mergeCell ref="A4:T4"/>
    <mergeCell ref="A7:A8"/>
    <mergeCell ref="U7:U8"/>
    <mergeCell ref="D5:T5"/>
    <mergeCell ref="J7:J8"/>
    <mergeCell ref="P7:P8"/>
    <mergeCell ref="S7:S8"/>
    <mergeCell ref="T7:T8"/>
    <mergeCell ref="N7:N8"/>
    <mergeCell ref="O7:O8"/>
    <mergeCell ref="Q7:Q8"/>
    <mergeCell ref="R7:R8"/>
    <mergeCell ref="B49:C49"/>
    <mergeCell ref="G7:I7"/>
    <mergeCell ref="F7:F8"/>
    <mergeCell ref="E7:E8"/>
    <mergeCell ref="D7:D8"/>
    <mergeCell ref="C7:C8"/>
    <mergeCell ref="B7:B8"/>
  </mergeCells>
  <phoneticPr fontId="2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2"/>
  <sheetViews>
    <sheetView topLeftCell="A23" workbookViewId="0">
      <selection activeCell="A3" sqref="A3:J44"/>
    </sheetView>
  </sheetViews>
  <sheetFormatPr defaultRowHeight="13.2" x14ac:dyDescent="0.25"/>
  <cols>
    <col min="2" max="2" width="24.109375" customWidth="1"/>
    <col min="4" max="4" width="25.5546875" customWidth="1"/>
    <col min="5" max="7" width="24" customWidth="1"/>
    <col min="8" max="8" width="25" customWidth="1"/>
    <col min="9" max="9" width="26.109375" customWidth="1"/>
    <col min="10" max="10" width="8.44140625" customWidth="1"/>
    <col min="11" max="11" width="18.6640625" bestFit="1" customWidth="1"/>
  </cols>
  <sheetData>
    <row r="1" spans="1:10" ht="27.6" x14ac:dyDescent="0.45">
      <c r="A1" s="123" t="s">
        <v>99</v>
      </c>
      <c r="B1" s="123"/>
      <c r="C1" s="123"/>
      <c r="D1" s="123"/>
      <c r="E1" s="123"/>
      <c r="F1" s="123"/>
      <c r="G1" s="123"/>
      <c r="H1" s="123"/>
      <c r="I1" s="123"/>
      <c r="J1" s="123"/>
    </row>
    <row r="2" spans="1:10" ht="24.6" x14ac:dyDescent="0.4">
      <c r="A2" s="124" t="s">
        <v>120</v>
      </c>
      <c r="B2" s="125"/>
      <c r="C2" s="125"/>
      <c r="D2" s="125"/>
      <c r="E2" s="125"/>
      <c r="F2" s="125"/>
      <c r="G2" s="125"/>
      <c r="H2" s="125"/>
      <c r="I2" s="125"/>
      <c r="J2" s="126"/>
    </row>
    <row r="3" spans="1:10" ht="18" x14ac:dyDescent="0.35">
      <c r="A3" s="127" t="s">
        <v>129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ht="18" x14ac:dyDescent="0.35">
      <c r="A4" s="70"/>
      <c r="B4" s="71">
        <v>1</v>
      </c>
      <c r="C4" s="71">
        <v>2</v>
      </c>
      <c r="D4" s="71">
        <v>3</v>
      </c>
      <c r="E4" s="71">
        <v>5</v>
      </c>
      <c r="F4" s="71">
        <v>6</v>
      </c>
      <c r="G4" s="71">
        <v>5</v>
      </c>
      <c r="H4" s="71">
        <v>6</v>
      </c>
      <c r="I4" s="72" t="s">
        <v>123</v>
      </c>
      <c r="J4" s="73"/>
    </row>
    <row r="5" spans="1:10" ht="47.4" x14ac:dyDescent="0.35">
      <c r="A5" s="74" t="s">
        <v>0</v>
      </c>
      <c r="B5" s="74" t="s">
        <v>20</v>
      </c>
      <c r="C5" s="75" t="s">
        <v>1</v>
      </c>
      <c r="D5" s="76" t="s">
        <v>122</v>
      </c>
      <c r="E5" s="77" t="s">
        <v>124</v>
      </c>
      <c r="F5" s="77" t="s">
        <v>125</v>
      </c>
      <c r="G5" s="77" t="s">
        <v>126</v>
      </c>
      <c r="H5" s="77" t="s">
        <v>127</v>
      </c>
      <c r="I5" s="74" t="s">
        <v>14</v>
      </c>
      <c r="J5" s="74" t="s">
        <v>0</v>
      </c>
    </row>
    <row r="6" spans="1:10" ht="18" x14ac:dyDescent="0.35">
      <c r="A6" s="78"/>
      <c r="B6" s="78"/>
      <c r="C6" s="78"/>
      <c r="D6" s="79" t="s">
        <v>100</v>
      </c>
      <c r="E6" s="79" t="s">
        <v>100</v>
      </c>
      <c r="F6" s="79" t="s">
        <v>100</v>
      </c>
      <c r="G6" s="79" t="s">
        <v>100</v>
      </c>
      <c r="H6" s="79" t="s">
        <v>100</v>
      </c>
      <c r="I6" s="79" t="s">
        <v>100</v>
      </c>
      <c r="J6" s="78"/>
    </row>
    <row r="7" spans="1:10" ht="18" x14ac:dyDescent="0.35">
      <c r="A7" s="80">
        <v>1</v>
      </c>
      <c r="B7" s="78" t="s">
        <v>39</v>
      </c>
      <c r="C7" s="80">
        <v>17</v>
      </c>
      <c r="D7" s="78">
        <v>59244125.876889519</v>
      </c>
      <c r="E7" s="78">
        <v>8889600.6923999991</v>
      </c>
      <c r="F7" s="78">
        <v>3555840.2768999999</v>
      </c>
      <c r="G7" s="78">
        <v>1228158.2479000001</v>
      </c>
      <c r="H7" s="78">
        <v>271073.27779999998</v>
      </c>
      <c r="I7" s="78">
        <f>D7++E7+F7+G7+H7</f>
        <v>73188798.371889502</v>
      </c>
      <c r="J7" s="81">
        <v>1</v>
      </c>
    </row>
    <row r="8" spans="1:10" ht="18" x14ac:dyDescent="0.35">
      <c r="A8" s="80">
        <v>2</v>
      </c>
      <c r="B8" s="78" t="s">
        <v>40</v>
      </c>
      <c r="C8" s="80">
        <v>21</v>
      </c>
      <c r="D8" s="78">
        <v>63025561.934911072</v>
      </c>
      <c r="E8" s="78">
        <v>9457006.4242000002</v>
      </c>
      <c r="F8" s="78">
        <v>3782802.5696999999</v>
      </c>
      <c r="G8" s="78">
        <v>1306549.1739000001</v>
      </c>
      <c r="H8" s="78">
        <v>288375.35200000001</v>
      </c>
      <c r="I8" s="78">
        <f t="shared" ref="I8:I42" si="0">D8++E8+F8+G8+H8</f>
        <v>77860295.454711065</v>
      </c>
      <c r="J8" s="81">
        <v>2</v>
      </c>
    </row>
    <row r="9" spans="1:10" ht="18" x14ac:dyDescent="0.35">
      <c r="A9" s="80">
        <v>3</v>
      </c>
      <c r="B9" s="78" t="s">
        <v>41</v>
      </c>
      <c r="C9" s="80">
        <v>31</v>
      </c>
      <c r="D9" s="78">
        <v>63611253.52885779</v>
      </c>
      <c r="E9" s="78">
        <v>9544889.6416999996</v>
      </c>
      <c r="F9" s="78">
        <v>3817955.8566999999</v>
      </c>
      <c r="G9" s="78">
        <v>1318690.8326999999</v>
      </c>
      <c r="H9" s="78">
        <v>291055.20169999998</v>
      </c>
      <c r="I9" s="78">
        <f t="shared" si="0"/>
        <v>78583845.061657801</v>
      </c>
      <c r="J9" s="81">
        <v>3</v>
      </c>
    </row>
    <row r="10" spans="1:10" ht="18" x14ac:dyDescent="0.35">
      <c r="A10" s="80">
        <v>4</v>
      </c>
      <c r="B10" s="78" t="s">
        <v>42</v>
      </c>
      <c r="C10" s="80">
        <v>21</v>
      </c>
      <c r="D10" s="78">
        <v>62907490.964559883</v>
      </c>
      <c r="E10" s="78">
        <v>9439289.8359999992</v>
      </c>
      <c r="F10" s="78">
        <v>3775715.9344000001</v>
      </c>
      <c r="G10" s="78">
        <v>1304101.5078</v>
      </c>
      <c r="H10" s="78">
        <v>287835.11489999999</v>
      </c>
      <c r="I10" s="78">
        <f t="shared" si="0"/>
        <v>77714433.357659876</v>
      </c>
      <c r="J10" s="81">
        <v>4</v>
      </c>
    </row>
    <row r="11" spans="1:10" ht="18" x14ac:dyDescent="0.35">
      <c r="A11" s="80">
        <v>5</v>
      </c>
      <c r="B11" s="78" t="s">
        <v>43</v>
      </c>
      <c r="C11" s="80">
        <v>20</v>
      </c>
      <c r="D11" s="78">
        <v>75679819.278547898</v>
      </c>
      <c r="E11" s="78">
        <v>11355781.926000001</v>
      </c>
      <c r="F11" s="78">
        <v>4542312.7703999998</v>
      </c>
      <c r="G11" s="78">
        <v>1568877.8063999999</v>
      </c>
      <c r="H11" s="78">
        <v>346275.2867</v>
      </c>
      <c r="I11" s="78">
        <f t="shared" si="0"/>
        <v>93493067.068047896</v>
      </c>
      <c r="J11" s="81">
        <v>5</v>
      </c>
    </row>
    <row r="12" spans="1:10" ht="18" x14ac:dyDescent="0.35">
      <c r="A12" s="80">
        <v>6</v>
      </c>
      <c r="B12" s="78" t="s">
        <v>44</v>
      </c>
      <c r="C12" s="80">
        <v>8</v>
      </c>
      <c r="D12" s="78">
        <v>55981555.621140718</v>
      </c>
      <c r="E12" s="78">
        <v>8400050.9459000006</v>
      </c>
      <c r="F12" s="78">
        <v>3360020.3783</v>
      </c>
      <c r="G12" s="78">
        <v>1160523.6510999999</v>
      </c>
      <c r="H12" s="78">
        <v>256145.28950000001</v>
      </c>
      <c r="I12" s="78">
        <f t="shared" si="0"/>
        <v>69158295.885940716</v>
      </c>
      <c r="J12" s="81">
        <v>6</v>
      </c>
    </row>
    <row r="13" spans="1:10" ht="18" x14ac:dyDescent="0.35">
      <c r="A13" s="80">
        <v>7</v>
      </c>
      <c r="B13" s="78" t="s">
        <v>45</v>
      </c>
      <c r="C13" s="80">
        <v>23</v>
      </c>
      <c r="D13" s="78">
        <f>70954722.8223386/2</f>
        <v>35477361.411169298</v>
      </c>
      <c r="E13" s="78">
        <f>10646779.6392/2</f>
        <v>5323389.8196</v>
      </c>
      <c r="F13" s="78">
        <f>4258711.8557/2</f>
        <v>2129355.9278500001</v>
      </c>
      <c r="G13" s="78">
        <f>1470924.3621/2</f>
        <v>735462.18105000001</v>
      </c>
      <c r="H13" s="78">
        <f>324655.466/2</f>
        <v>162327.73300000001</v>
      </c>
      <c r="I13" s="78">
        <f t="shared" si="0"/>
        <v>43827897.072669305</v>
      </c>
      <c r="J13" s="81">
        <v>7</v>
      </c>
    </row>
    <row r="14" spans="1:10" ht="18" x14ac:dyDescent="0.35">
      <c r="A14" s="80">
        <v>8</v>
      </c>
      <c r="B14" s="78" t="s">
        <v>46</v>
      </c>
      <c r="C14" s="80">
        <v>27</v>
      </c>
      <c r="D14" s="78">
        <v>78607664.080903292</v>
      </c>
      <c r="E14" s="78">
        <v>11795106.0075</v>
      </c>
      <c r="F14" s="78">
        <v>4718042.4029999999</v>
      </c>
      <c r="G14" s="78">
        <v>1629573.3891</v>
      </c>
      <c r="H14" s="78">
        <v>359671.72850000003</v>
      </c>
      <c r="I14" s="78">
        <f t="shared" si="0"/>
        <v>97110057.609003276</v>
      </c>
      <c r="J14" s="81">
        <v>8</v>
      </c>
    </row>
    <row r="15" spans="1:10" ht="18" x14ac:dyDescent="0.35">
      <c r="A15" s="80">
        <v>9</v>
      </c>
      <c r="B15" s="78" t="s">
        <v>47</v>
      </c>
      <c r="C15" s="80">
        <v>18</v>
      </c>
      <c r="D15" s="78">
        <v>63622101.879008085</v>
      </c>
      <c r="E15" s="78">
        <v>9546517.4401999991</v>
      </c>
      <c r="F15" s="78">
        <v>3818606.9761000001</v>
      </c>
      <c r="G15" s="78">
        <v>1318915.7239999999</v>
      </c>
      <c r="H15" s="78">
        <v>291104.83860000002</v>
      </c>
      <c r="I15" s="78">
        <f t="shared" si="0"/>
        <v>78597246.857908085</v>
      </c>
      <c r="J15" s="81">
        <v>9</v>
      </c>
    </row>
    <row r="16" spans="1:10" ht="18" x14ac:dyDescent="0.35">
      <c r="A16" s="80">
        <v>10</v>
      </c>
      <c r="B16" s="78" t="s">
        <v>48</v>
      </c>
      <c r="C16" s="80">
        <v>25</v>
      </c>
      <c r="D16" s="78">
        <v>64240570.38619671</v>
      </c>
      <c r="E16" s="78">
        <v>9639318.8443999998</v>
      </c>
      <c r="F16" s="78">
        <v>3855727.5377000002</v>
      </c>
      <c r="G16" s="78">
        <v>1331736.8633999999</v>
      </c>
      <c r="H16" s="78">
        <v>293934.65980000002</v>
      </c>
      <c r="I16" s="78">
        <f t="shared" si="0"/>
        <v>79361288.291496694</v>
      </c>
      <c r="J16" s="81">
        <v>10</v>
      </c>
    </row>
    <row r="17" spans="1:10" ht="18" x14ac:dyDescent="0.35">
      <c r="A17" s="80">
        <v>11</v>
      </c>
      <c r="B17" s="78" t="s">
        <v>49</v>
      </c>
      <c r="C17" s="80">
        <v>13</v>
      </c>
      <c r="D17" s="78">
        <v>56603123.307282932</v>
      </c>
      <c r="E17" s="78">
        <v>8493317.3828999996</v>
      </c>
      <c r="F17" s="78">
        <v>3397326.9531</v>
      </c>
      <c r="G17" s="78">
        <v>1173409.0379000001</v>
      </c>
      <c r="H17" s="78">
        <v>258989.2911</v>
      </c>
      <c r="I17" s="78">
        <f t="shared" si="0"/>
        <v>69926165.972282931</v>
      </c>
      <c r="J17" s="81">
        <v>11</v>
      </c>
    </row>
    <row r="18" spans="1:10" ht="18" x14ac:dyDescent="0.35">
      <c r="A18" s="80">
        <v>12</v>
      </c>
      <c r="B18" s="78" t="s">
        <v>50</v>
      </c>
      <c r="C18" s="80">
        <v>18</v>
      </c>
      <c r="D18" s="78">
        <v>59159335.605318867</v>
      </c>
      <c r="E18" s="78">
        <v>8876877.8840999994</v>
      </c>
      <c r="F18" s="78">
        <v>3550751.1535999998</v>
      </c>
      <c r="G18" s="78">
        <v>1226400.5061999999</v>
      </c>
      <c r="H18" s="78">
        <v>270685.3174</v>
      </c>
      <c r="I18" s="78">
        <f t="shared" si="0"/>
        <v>73084050.466618866</v>
      </c>
      <c r="J18" s="81">
        <v>12</v>
      </c>
    </row>
    <row r="19" spans="1:10" ht="18" x14ac:dyDescent="0.35">
      <c r="A19" s="80">
        <v>13</v>
      </c>
      <c r="B19" s="78" t="s">
        <v>51</v>
      </c>
      <c r="C19" s="80">
        <v>16</v>
      </c>
      <c r="D19" s="78">
        <v>56571182.494668864</v>
      </c>
      <c r="E19" s="78">
        <v>8488524.6534000002</v>
      </c>
      <c r="F19" s="78">
        <v>3395409.8613</v>
      </c>
      <c r="G19" s="78">
        <v>1172746.8901</v>
      </c>
      <c r="H19" s="78">
        <v>258843.14509999999</v>
      </c>
      <c r="I19" s="78">
        <f t="shared" si="0"/>
        <v>69886707.044568866</v>
      </c>
      <c r="J19" s="81">
        <v>13</v>
      </c>
    </row>
    <row r="20" spans="1:10" ht="18" x14ac:dyDescent="0.35">
      <c r="A20" s="80">
        <v>14</v>
      </c>
      <c r="B20" s="78" t="s">
        <v>52</v>
      </c>
      <c r="C20" s="80">
        <v>17</v>
      </c>
      <c r="D20" s="78">
        <v>63627592.895959578</v>
      </c>
      <c r="E20" s="78">
        <v>9547341.3691000007</v>
      </c>
      <c r="F20" s="78">
        <v>3818936.5476000002</v>
      </c>
      <c r="G20" s="78">
        <v>1319029.5552999999</v>
      </c>
      <c r="H20" s="78">
        <v>291129.96289999998</v>
      </c>
      <c r="I20" s="78">
        <f t="shared" si="0"/>
        <v>78604030.330859572</v>
      </c>
      <c r="J20" s="81">
        <v>14</v>
      </c>
    </row>
    <row r="21" spans="1:10" ht="18" x14ac:dyDescent="0.35">
      <c r="A21" s="80">
        <v>15</v>
      </c>
      <c r="B21" s="78" t="s">
        <v>53</v>
      </c>
      <c r="C21" s="80">
        <v>11</v>
      </c>
      <c r="D21" s="78">
        <v>59594228.703336827</v>
      </c>
      <c r="E21" s="78">
        <v>8942133.7372999992</v>
      </c>
      <c r="F21" s="78">
        <v>3576853.4948999998</v>
      </c>
      <c r="G21" s="78">
        <v>1235416.0422</v>
      </c>
      <c r="H21" s="78">
        <v>272675.18369999999</v>
      </c>
      <c r="I21" s="78">
        <f t="shared" si="0"/>
        <v>73621307.161436826</v>
      </c>
      <c r="J21" s="81">
        <v>15</v>
      </c>
    </row>
    <row r="22" spans="1:10" ht="18" x14ac:dyDescent="0.35">
      <c r="A22" s="80">
        <v>16</v>
      </c>
      <c r="B22" s="78" t="s">
        <v>54</v>
      </c>
      <c r="C22" s="80">
        <v>27</v>
      </c>
      <c r="D22" s="78">
        <v>65781563.226591021</v>
      </c>
      <c r="E22" s="78">
        <v>9870545.3300000001</v>
      </c>
      <c r="F22" s="78">
        <v>3948218.1320000002</v>
      </c>
      <c r="G22" s="78">
        <v>1363682.3607999999</v>
      </c>
      <c r="H22" s="78">
        <v>300985.51880000002</v>
      </c>
      <c r="I22" s="78">
        <f t="shared" si="0"/>
        <v>81264994.568191022</v>
      </c>
      <c r="J22" s="81">
        <v>16</v>
      </c>
    </row>
    <row r="23" spans="1:10" ht="18" x14ac:dyDescent="0.35">
      <c r="A23" s="80">
        <v>17</v>
      </c>
      <c r="B23" s="78" t="s">
        <v>55</v>
      </c>
      <c r="C23" s="80">
        <v>27</v>
      </c>
      <c r="D23" s="78">
        <v>70754173.424903005</v>
      </c>
      <c r="E23" s="78">
        <v>10616687.1357</v>
      </c>
      <c r="F23" s="78">
        <v>4246674.8542999998</v>
      </c>
      <c r="G23" s="78">
        <v>1466766.88</v>
      </c>
      <c r="H23" s="78">
        <v>323737.84620000003</v>
      </c>
      <c r="I23" s="78">
        <f t="shared" si="0"/>
        <v>87408040.141103014</v>
      </c>
      <c r="J23" s="81">
        <v>17</v>
      </c>
    </row>
    <row r="24" spans="1:10" ht="18" x14ac:dyDescent="0.35">
      <c r="A24" s="80">
        <v>18</v>
      </c>
      <c r="B24" s="78" t="s">
        <v>56</v>
      </c>
      <c r="C24" s="80">
        <v>23</v>
      </c>
      <c r="D24" s="78">
        <v>82896743.61641857</v>
      </c>
      <c r="E24" s="78">
        <v>12438683.811100001</v>
      </c>
      <c r="F24" s="78">
        <v>4975473.5244000005</v>
      </c>
      <c r="G24" s="78">
        <v>1718488.0001999999</v>
      </c>
      <c r="H24" s="78">
        <v>379296.54080000002</v>
      </c>
      <c r="I24" s="78">
        <f t="shared" si="0"/>
        <v>102408685.49291858</v>
      </c>
      <c r="J24" s="81">
        <v>18</v>
      </c>
    </row>
    <row r="25" spans="1:10" ht="18" x14ac:dyDescent="0.35">
      <c r="A25" s="80">
        <v>19</v>
      </c>
      <c r="B25" s="78" t="s">
        <v>57</v>
      </c>
      <c r="C25" s="80">
        <v>44</v>
      </c>
      <c r="D25" s="78">
        <v>100355737.03202425</v>
      </c>
      <c r="E25" s="78">
        <v>15058411.5505</v>
      </c>
      <c r="F25" s="78">
        <v>6023364.6201999998</v>
      </c>
      <c r="G25" s="78">
        <v>2080421.0433</v>
      </c>
      <c r="H25" s="78">
        <v>459180.68979999999</v>
      </c>
      <c r="I25" s="78">
        <f t="shared" si="0"/>
        <v>123977114.93582425</v>
      </c>
      <c r="J25" s="81">
        <v>19</v>
      </c>
    </row>
    <row r="26" spans="1:10" ht="18" x14ac:dyDescent="0.35">
      <c r="A26" s="80">
        <v>20</v>
      </c>
      <c r="B26" s="78" t="s">
        <v>58</v>
      </c>
      <c r="C26" s="80">
        <v>34</v>
      </c>
      <c r="D26" s="78">
        <v>77772840.080254495</v>
      </c>
      <c r="E26" s="78">
        <v>11669840.389900001</v>
      </c>
      <c r="F26" s="78">
        <v>4667936.1560000004</v>
      </c>
      <c r="G26" s="78">
        <v>1612267.0998</v>
      </c>
      <c r="H26" s="78">
        <v>355851.96629999997</v>
      </c>
      <c r="I26" s="78">
        <f t="shared" si="0"/>
        <v>96078735.692254499</v>
      </c>
      <c r="J26" s="81">
        <v>20</v>
      </c>
    </row>
    <row r="27" spans="1:10" ht="18" x14ac:dyDescent="0.35">
      <c r="A27" s="80">
        <v>21</v>
      </c>
      <c r="B27" s="78" t="s">
        <v>59</v>
      </c>
      <c r="C27" s="80">
        <v>21</v>
      </c>
      <c r="D27" s="78">
        <f>66807257.6415503/2</f>
        <v>33403628.820775151</v>
      </c>
      <c r="E27" s="78">
        <f>10024451.1164/2</f>
        <v>5012225.5581999999</v>
      </c>
      <c r="F27" s="78">
        <f>4009780.4465/2</f>
        <v>2004890.22325</v>
      </c>
      <c r="G27" s="78">
        <f>1384945.4824/2</f>
        <v>692472.74120000005</v>
      </c>
      <c r="H27" s="78">
        <f>305678.6143/2</f>
        <v>152839.30715000001</v>
      </c>
      <c r="I27" s="78">
        <f t="shared" si="0"/>
        <v>41266056.650575154</v>
      </c>
      <c r="J27" s="81">
        <v>21</v>
      </c>
    </row>
    <row r="28" spans="1:10" ht="18" x14ac:dyDescent="0.35">
      <c r="A28" s="80">
        <v>22</v>
      </c>
      <c r="B28" s="78" t="s">
        <v>60</v>
      </c>
      <c r="C28" s="80">
        <v>21</v>
      </c>
      <c r="D28" s="78">
        <f>69927030.280606/2</f>
        <v>34963515.140303001</v>
      </c>
      <c r="E28" s="78">
        <f>10492574.0332/2</f>
        <v>5246287.0165999997</v>
      </c>
      <c r="F28" s="78">
        <f>4197029.6133/2</f>
        <v>2098514.8066500002</v>
      </c>
      <c r="G28" s="78">
        <f>1449619.8184/2</f>
        <v>724809.90919999999</v>
      </c>
      <c r="H28" s="78">
        <f>319953.2279/2</f>
        <v>159976.61395</v>
      </c>
      <c r="I28" s="78">
        <f t="shared" si="0"/>
        <v>43193103.486702994</v>
      </c>
      <c r="J28" s="81">
        <v>22</v>
      </c>
    </row>
    <row r="29" spans="1:10" ht="18" x14ac:dyDescent="0.35">
      <c r="A29" s="80">
        <v>23</v>
      </c>
      <c r="B29" s="78" t="s">
        <v>61</v>
      </c>
      <c r="C29" s="80">
        <v>16</v>
      </c>
      <c r="D29" s="78">
        <f>56318966.3000506/2</f>
        <v>28159483.150025301</v>
      </c>
      <c r="E29" s="78">
        <f>8450679.5299/2</f>
        <v>4225339.7649499997</v>
      </c>
      <c r="F29" s="78">
        <f>3380271.812/2</f>
        <v>1690135.906</v>
      </c>
      <c r="G29" s="78">
        <f>1167518.3312/2</f>
        <v>583759.16559999995</v>
      </c>
      <c r="H29" s="78">
        <f>257689.1223/2</f>
        <v>128844.56114999999</v>
      </c>
      <c r="I29" s="78">
        <f t="shared" si="0"/>
        <v>34787562.547725305</v>
      </c>
      <c r="J29" s="81">
        <v>23</v>
      </c>
    </row>
    <row r="30" spans="1:10" ht="18" x14ac:dyDescent="0.35">
      <c r="A30" s="80">
        <v>24</v>
      </c>
      <c r="B30" s="78" t="s">
        <v>62</v>
      </c>
      <c r="C30" s="80">
        <v>20</v>
      </c>
      <c r="D30" s="78">
        <v>84756930.293223053</v>
      </c>
      <c r="E30" s="78">
        <v>12717805.4375</v>
      </c>
      <c r="F30" s="78">
        <v>5087122.1749999998</v>
      </c>
      <c r="G30" s="78">
        <v>1757050.534</v>
      </c>
      <c r="H30" s="78">
        <v>387807.88099999999</v>
      </c>
      <c r="I30" s="78">
        <f t="shared" si="0"/>
        <v>104706716.32072304</v>
      </c>
      <c r="J30" s="81">
        <v>24</v>
      </c>
    </row>
    <row r="31" spans="1:10" ht="18" x14ac:dyDescent="0.35">
      <c r="A31" s="80">
        <v>25</v>
      </c>
      <c r="B31" s="78" t="s">
        <v>63</v>
      </c>
      <c r="C31" s="80">
        <v>13</v>
      </c>
      <c r="D31" s="78">
        <v>58346570.102499701</v>
      </c>
      <c r="E31" s="78">
        <v>8754922.1513999999</v>
      </c>
      <c r="F31" s="78">
        <v>3501968.8605999998</v>
      </c>
      <c r="G31" s="78">
        <v>1209551.4998000001</v>
      </c>
      <c r="H31" s="78">
        <v>266966.48450000002</v>
      </c>
      <c r="I31" s="78">
        <f t="shared" si="0"/>
        <v>72079979.098799706</v>
      </c>
      <c r="J31" s="81">
        <v>25</v>
      </c>
    </row>
    <row r="32" spans="1:10" ht="18" x14ac:dyDescent="0.35">
      <c r="A32" s="80">
        <v>26</v>
      </c>
      <c r="B32" s="78" t="s">
        <v>64</v>
      </c>
      <c r="C32" s="80">
        <v>25</v>
      </c>
      <c r="D32" s="78">
        <f>74943571.4729892/2</f>
        <v>37471785.736494601</v>
      </c>
      <c r="E32" s="78">
        <f>11245307.6992/2</f>
        <v>5622653.8496000003</v>
      </c>
      <c r="F32" s="78">
        <f>4498123.0797/2</f>
        <v>2249061.5398499998</v>
      </c>
      <c r="G32" s="78">
        <f>1553615.0474/2</f>
        <v>776807.52370000002</v>
      </c>
      <c r="H32" s="78">
        <f>342906.5627/2</f>
        <v>171453.28135</v>
      </c>
      <c r="I32" s="78">
        <f t="shared" si="0"/>
        <v>46291761.9309946</v>
      </c>
      <c r="J32" s="81">
        <v>26</v>
      </c>
    </row>
    <row r="33" spans="1:11" ht="18" x14ac:dyDescent="0.35">
      <c r="A33" s="80">
        <v>27</v>
      </c>
      <c r="B33" s="78" t="s">
        <v>65</v>
      </c>
      <c r="C33" s="80">
        <v>20</v>
      </c>
      <c r="D33" s="78">
        <v>58779910.181600302</v>
      </c>
      <c r="E33" s="78">
        <v>8819944.9737</v>
      </c>
      <c r="F33" s="78">
        <v>3527977.9895000001</v>
      </c>
      <c r="G33" s="78">
        <v>1218534.841</v>
      </c>
      <c r="H33" s="78">
        <v>268949.24489999999</v>
      </c>
      <c r="I33" s="78">
        <f t="shared" si="0"/>
        <v>72615317.230700314</v>
      </c>
      <c r="J33" s="81">
        <v>27</v>
      </c>
    </row>
    <row r="34" spans="1:11" ht="18" x14ac:dyDescent="0.35">
      <c r="A34" s="80">
        <v>28</v>
      </c>
      <c r="B34" s="78" t="s">
        <v>66</v>
      </c>
      <c r="C34" s="80">
        <v>18</v>
      </c>
      <c r="D34" s="78">
        <v>58896359.766630538</v>
      </c>
      <c r="E34" s="78">
        <v>8837418.2723999992</v>
      </c>
      <c r="F34" s="78">
        <v>3534967.3089999999</v>
      </c>
      <c r="G34" s="78">
        <v>1220948.8949</v>
      </c>
      <c r="H34" s="78">
        <v>269482.06349999999</v>
      </c>
      <c r="I34" s="78">
        <f t="shared" si="0"/>
        <v>72759176.306430534</v>
      </c>
      <c r="J34" s="81">
        <v>28</v>
      </c>
    </row>
    <row r="35" spans="1:11" ht="18" x14ac:dyDescent="0.35">
      <c r="A35" s="80">
        <v>29</v>
      </c>
      <c r="B35" s="78" t="s">
        <v>67</v>
      </c>
      <c r="C35" s="80">
        <v>30</v>
      </c>
      <c r="D35" s="78">
        <v>57702357.592216171</v>
      </c>
      <c r="E35" s="78">
        <v>8658257.8510999996</v>
      </c>
      <c r="F35" s="78">
        <v>3463303.1403999999</v>
      </c>
      <c r="G35" s="78">
        <v>1196196.6753</v>
      </c>
      <c r="H35" s="78">
        <v>264018.87079999998</v>
      </c>
      <c r="I35" s="78">
        <f t="shared" si="0"/>
        <v>71284134.129816175</v>
      </c>
      <c r="J35" s="81">
        <v>29</v>
      </c>
    </row>
    <row r="36" spans="1:11" ht="18" x14ac:dyDescent="0.35">
      <c r="A36" s="80">
        <v>30</v>
      </c>
      <c r="B36" s="78" t="s">
        <v>68</v>
      </c>
      <c r="C36" s="80">
        <v>33</v>
      </c>
      <c r="D36" s="78">
        <v>70962562.474237725</v>
      </c>
      <c r="E36" s="78">
        <v>10647955.9816</v>
      </c>
      <c r="F36" s="78">
        <v>4259182.3925999999</v>
      </c>
      <c r="G36" s="78">
        <v>1471086.8817</v>
      </c>
      <c r="H36" s="78">
        <v>324691.33659999998</v>
      </c>
      <c r="I36" s="78">
        <f t="shared" si="0"/>
        <v>87665479.066737726</v>
      </c>
      <c r="J36" s="81">
        <v>30</v>
      </c>
    </row>
    <row r="37" spans="1:11" ht="18" x14ac:dyDescent="0.35">
      <c r="A37" s="80">
        <v>31</v>
      </c>
      <c r="B37" s="78" t="s">
        <v>69</v>
      </c>
      <c r="C37" s="80">
        <v>17</v>
      </c>
      <c r="D37" s="78">
        <f>66068484.1558168/2</f>
        <v>33034242.0779084</v>
      </c>
      <c r="E37" s="78">
        <f>9913597.9104/2</f>
        <v>4956798.9551999997</v>
      </c>
      <c r="F37" s="78">
        <f>3965439.1641/2</f>
        <v>1982719.5820500001</v>
      </c>
      <c r="G37" s="78">
        <f>1369630.3649/2</f>
        <v>684815.18244999996</v>
      </c>
      <c r="H37" s="78">
        <f>302298.3342/2</f>
        <v>151149.16709999999</v>
      </c>
      <c r="I37" s="78">
        <f t="shared" si="0"/>
        <v>40809724.964708395</v>
      </c>
      <c r="J37" s="81">
        <v>31</v>
      </c>
    </row>
    <row r="38" spans="1:11" ht="18" x14ac:dyDescent="0.35">
      <c r="A38" s="80">
        <v>32</v>
      </c>
      <c r="B38" s="78" t="s">
        <v>70</v>
      </c>
      <c r="C38" s="80">
        <v>23</v>
      </c>
      <c r="D38" s="78">
        <v>68233110.785361379</v>
      </c>
      <c r="E38" s="78">
        <v>10238400.852399999</v>
      </c>
      <c r="F38" s="78">
        <v>4095360.341</v>
      </c>
      <c r="G38" s="78">
        <v>1414504.0804000001</v>
      </c>
      <c r="H38" s="78">
        <v>312202.6483</v>
      </c>
      <c r="I38" s="78">
        <f t="shared" si="0"/>
        <v>84293578.707461402</v>
      </c>
      <c r="J38" s="81">
        <v>32</v>
      </c>
    </row>
    <row r="39" spans="1:11" ht="18" x14ac:dyDescent="0.35">
      <c r="A39" s="80">
        <v>33</v>
      </c>
      <c r="B39" s="78" t="s">
        <v>71</v>
      </c>
      <c r="C39" s="80">
        <v>23</v>
      </c>
      <c r="D39" s="78">
        <v>69728044.835355088</v>
      </c>
      <c r="E39" s="78">
        <v>10462716.201300001</v>
      </c>
      <c r="F39" s="78">
        <v>4185086.4805000001</v>
      </c>
      <c r="G39" s="78">
        <v>1445494.7577</v>
      </c>
      <c r="H39" s="78">
        <f>319042.7639</f>
        <v>319042.76390000002</v>
      </c>
      <c r="I39" s="78">
        <f t="shared" si="0"/>
        <v>86140385.038755074</v>
      </c>
      <c r="J39" s="81">
        <v>33</v>
      </c>
    </row>
    <row r="40" spans="1:11" ht="18" x14ac:dyDescent="0.35">
      <c r="A40" s="80">
        <v>34</v>
      </c>
      <c r="B40" s="78" t="s">
        <v>72</v>
      </c>
      <c r="C40" s="80">
        <v>16</v>
      </c>
      <c r="D40" s="78">
        <f>60945224.4876368</f>
        <v>60945224.487636797</v>
      </c>
      <c r="E40" s="78">
        <f>9144851.1018</f>
        <v>9144851.1018000003</v>
      </c>
      <c r="F40" s="78">
        <f>3657940.4407</f>
        <v>3657940.4407000002</v>
      </c>
      <c r="G40" s="78">
        <f>1263422.8123</f>
        <v>1263422.8123000001</v>
      </c>
      <c r="H40" s="78">
        <f>278856.7057</f>
        <v>278856.70569999999</v>
      </c>
      <c r="I40" s="78">
        <f>D40++E40+F40+G40+H40</f>
        <v>75290295.548136786</v>
      </c>
      <c r="J40" s="81">
        <v>34</v>
      </c>
    </row>
    <row r="41" spans="1:11" ht="18" x14ac:dyDescent="0.35">
      <c r="A41" s="80">
        <v>35</v>
      </c>
      <c r="B41" s="78" t="s">
        <v>73</v>
      </c>
      <c r="C41" s="80">
        <v>17</v>
      </c>
      <c r="D41" s="78">
        <v>62826702.939420365</v>
      </c>
      <c r="E41" s="78">
        <v>9427167.5660999995</v>
      </c>
      <c r="F41" s="78">
        <v>3770867.0263999999</v>
      </c>
      <c r="G41" s="78">
        <v>1302426.7345</v>
      </c>
      <c r="H41" s="78">
        <v>287465.46679999999</v>
      </c>
      <c r="I41" s="78">
        <f t="shared" si="0"/>
        <v>77614629.733220369</v>
      </c>
      <c r="J41" s="81">
        <v>35</v>
      </c>
    </row>
    <row r="42" spans="1:11" ht="18" x14ac:dyDescent="0.35">
      <c r="A42" s="80">
        <v>36</v>
      </c>
      <c r="B42" s="78" t="s">
        <v>74</v>
      </c>
      <c r="C42" s="80">
        <v>14</v>
      </c>
      <c r="D42" s="78">
        <v>62960505.471619762</v>
      </c>
      <c r="E42" s="78">
        <v>9447244.6802999992</v>
      </c>
      <c r="F42" s="78">
        <v>3778897.8720999998</v>
      </c>
      <c r="G42" s="78">
        <v>1305200.5231999999</v>
      </c>
      <c r="H42" s="78">
        <v>288077.68430000002</v>
      </c>
      <c r="I42" s="78">
        <f t="shared" si="0"/>
        <v>77779926.231519774</v>
      </c>
      <c r="J42" s="81">
        <v>36</v>
      </c>
    </row>
    <row r="43" spans="1:11" ht="18" x14ac:dyDescent="0.35">
      <c r="A43" s="80">
        <v>37</v>
      </c>
      <c r="B43" s="78" t="s">
        <v>138</v>
      </c>
      <c r="C43" s="80"/>
      <c r="D43" s="78">
        <f>D13+D27+D28+D29+D32+D37</f>
        <v>202510016.33667573</v>
      </c>
      <c r="E43" s="78">
        <f t="shared" ref="E43:H43" si="1">E13+E27+E28+E29+E32+E37</f>
        <v>30386694.964150004</v>
      </c>
      <c r="F43" s="78">
        <f t="shared" si="1"/>
        <v>12154677.985649999</v>
      </c>
      <c r="G43" s="78">
        <f t="shared" si="1"/>
        <v>4198126.7032000003</v>
      </c>
      <c r="H43" s="78">
        <f t="shared" si="1"/>
        <v>926590.66369999992</v>
      </c>
      <c r="I43" s="78">
        <f>I13+I27+I28+I29+I32+I37</f>
        <v>250176106.65337574</v>
      </c>
      <c r="J43" s="81">
        <v>37</v>
      </c>
    </row>
    <row r="44" spans="1:11" ht="18" x14ac:dyDescent="0.35">
      <c r="A44" s="80"/>
      <c r="B44" s="82" t="s">
        <v>128</v>
      </c>
      <c r="C44" s="78"/>
      <c r="D44" s="83">
        <f>SUM(D7:D43)</f>
        <v>2399194975.540926</v>
      </c>
      <c r="E44" s="83">
        <f t="shared" ref="E44:H44" si="2">SUM(E7:E43)</f>
        <v>360000000.00020009</v>
      </c>
      <c r="F44" s="83">
        <f t="shared" si="2"/>
        <v>143999999.99969998</v>
      </c>
      <c r="G44" s="83">
        <f t="shared" si="2"/>
        <v>49736426.253299996</v>
      </c>
      <c r="H44" s="83">
        <f t="shared" si="2"/>
        <v>10977588.689299999</v>
      </c>
      <c r="I44" s="83">
        <f>SUM(I7:I43)</f>
        <v>2963908990.4834251</v>
      </c>
      <c r="J44" s="81"/>
    </row>
    <row r="45" spans="1:11" ht="18" x14ac:dyDescent="0.35">
      <c r="A45" s="128"/>
      <c r="B45" s="128"/>
      <c r="C45" s="128"/>
      <c r="D45" s="128"/>
      <c r="E45" s="128"/>
      <c r="F45" s="128"/>
      <c r="G45" s="128"/>
      <c r="H45" s="128"/>
      <c r="I45" s="128"/>
      <c r="J45" s="128"/>
    </row>
    <row r="46" spans="1:11" x14ac:dyDescent="0.25">
      <c r="A46" s="129"/>
      <c r="B46" s="129"/>
      <c r="C46" s="129"/>
      <c r="D46" s="129"/>
      <c r="E46" s="129"/>
      <c r="F46" s="129"/>
      <c r="G46" s="129"/>
      <c r="H46" s="129"/>
      <c r="I46" s="129"/>
      <c r="J46" s="129"/>
    </row>
    <row r="47" spans="1:11" ht="22.8" x14ac:dyDescent="0.4">
      <c r="A47" s="122" t="s">
        <v>121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"/>
    </row>
    <row r="49" spans="6:9" x14ac:dyDescent="0.25">
      <c r="F49" s="2"/>
      <c r="I49" s="1"/>
    </row>
    <row r="50" spans="6:9" x14ac:dyDescent="0.25">
      <c r="F50" s="2"/>
    </row>
    <row r="51" spans="6:9" x14ac:dyDescent="0.25">
      <c r="F51" s="2"/>
    </row>
    <row r="52" spans="6:9" x14ac:dyDescent="0.25">
      <c r="F52" s="2"/>
    </row>
  </sheetData>
  <mergeCells count="6">
    <mergeCell ref="A47:J47"/>
    <mergeCell ref="A1:J1"/>
    <mergeCell ref="A2:J2"/>
    <mergeCell ref="A3:J3"/>
    <mergeCell ref="A45:J45"/>
    <mergeCell ref="A46:J4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57"/>
  <sheetViews>
    <sheetView tabSelected="1" workbookViewId="0">
      <pane xSplit="3" ySplit="6" topLeftCell="D44" activePane="bottomRight" state="frozen"/>
      <selection pane="topRight" activeCell="D1" sqref="D1"/>
      <selection pane="bottomLeft" activeCell="A7" sqref="A7"/>
      <selection pane="bottomRight" activeCell="G54" sqref="G54"/>
    </sheetView>
  </sheetViews>
  <sheetFormatPr defaultRowHeight="13.2" x14ac:dyDescent="0.25"/>
  <cols>
    <col min="2" max="2" width="24.109375" customWidth="1"/>
    <col min="4" max="4" width="24.88671875" bestFit="1" customWidth="1"/>
    <col min="5" max="5" width="26" customWidth="1"/>
    <col min="6" max="6" width="24.88671875" bestFit="1" customWidth="1"/>
    <col min="7" max="8" width="23.44140625" bestFit="1" customWidth="1"/>
    <col min="9" max="9" width="21.109375" bestFit="1" customWidth="1"/>
    <col min="10" max="10" width="24.109375" customWidth="1"/>
    <col min="11" max="11" width="24.88671875" bestFit="1" customWidth="1"/>
    <col min="12" max="12" width="26.109375" customWidth="1"/>
    <col min="13" max="13" width="8.44140625" customWidth="1"/>
    <col min="14" max="14" width="14.5546875" bestFit="1" customWidth="1"/>
    <col min="15" max="16" width="16.5546875" bestFit="1" customWidth="1"/>
    <col min="17" max="17" width="15.5546875" bestFit="1" customWidth="1"/>
    <col min="18" max="18" width="15" bestFit="1" customWidth="1"/>
    <col min="19" max="20" width="14" bestFit="1" customWidth="1"/>
    <col min="21" max="21" width="12.88671875" bestFit="1" customWidth="1"/>
  </cols>
  <sheetData>
    <row r="1" spans="1:21" ht="30" customHeight="1" x14ac:dyDescent="0.45">
      <c r="A1" s="123" t="s">
        <v>99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</row>
    <row r="2" spans="1:21" ht="24.6" x14ac:dyDescent="0.4">
      <c r="A2" s="124" t="s">
        <v>131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6"/>
    </row>
    <row r="3" spans="1:21" ht="49.5" customHeight="1" x14ac:dyDescent="0.35">
      <c r="A3" s="130" t="s">
        <v>141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21" ht="18" x14ac:dyDescent="0.35">
      <c r="A4" s="70"/>
      <c r="B4" s="71">
        <v>1</v>
      </c>
      <c r="C4" s="71">
        <v>2</v>
      </c>
      <c r="D4" s="71">
        <v>3</v>
      </c>
      <c r="E4" s="71">
        <v>4</v>
      </c>
      <c r="F4" s="71">
        <v>5</v>
      </c>
      <c r="G4" s="71">
        <v>6</v>
      </c>
      <c r="H4" s="71">
        <v>7</v>
      </c>
      <c r="I4" s="71">
        <v>8</v>
      </c>
      <c r="J4" s="71">
        <v>9</v>
      </c>
      <c r="K4" s="71">
        <v>10</v>
      </c>
      <c r="L4" s="89" t="s">
        <v>143</v>
      </c>
      <c r="M4" s="73"/>
    </row>
    <row r="5" spans="1:21" ht="71.25" customHeight="1" x14ac:dyDescent="0.35">
      <c r="A5" s="74" t="s">
        <v>0</v>
      </c>
      <c r="B5" s="74" t="s">
        <v>20</v>
      </c>
      <c r="C5" s="75" t="s">
        <v>1</v>
      </c>
      <c r="D5" s="76" t="s">
        <v>7</v>
      </c>
      <c r="E5" s="85" t="s">
        <v>118</v>
      </c>
      <c r="F5" s="77" t="s">
        <v>103</v>
      </c>
      <c r="G5" s="77" t="s">
        <v>102</v>
      </c>
      <c r="H5" s="88" t="s">
        <v>101</v>
      </c>
      <c r="I5" s="87" t="s">
        <v>132</v>
      </c>
      <c r="J5" s="100" t="s">
        <v>142</v>
      </c>
      <c r="K5" s="86" t="s">
        <v>11</v>
      </c>
      <c r="L5" s="86" t="s">
        <v>14</v>
      </c>
      <c r="M5" s="74" t="s">
        <v>0</v>
      </c>
    </row>
    <row r="6" spans="1:21" ht="18" x14ac:dyDescent="0.35">
      <c r="A6" s="78"/>
      <c r="B6" s="78"/>
      <c r="C6" s="78"/>
      <c r="D6" s="79" t="s">
        <v>100</v>
      </c>
      <c r="E6" s="79" t="s">
        <v>100</v>
      </c>
      <c r="F6" s="79" t="s">
        <v>100</v>
      </c>
      <c r="G6" s="79" t="s">
        <v>100</v>
      </c>
      <c r="H6" s="79" t="s">
        <v>100</v>
      </c>
      <c r="I6" s="79" t="s">
        <v>100</v>
      </c>
      <c r="J6" s="79" t="s">
        <v>100</v>
      </c>
      <c r="K6" s="79" t="s">
        <v>100</v>
      </c>
      <c r="L6" s="79" t="s">
        <v>100</v>
      </c>
      <c r="M6" s="78"/>
    </row>
    <row r="7" spans="1:21" ht="18" x14ac:dyDescent="0.35">
      <c r="A7" s="80">
        <v>1</v>
      </c>
      <c r="B7" s="78" t="s">
        <v>39</v>
      </c>
      <c r="C7" s="80">
        <v>17</v>
      </c>
      <c r="D7" s="78">
        <v>1383280462.9854</v>
      </c>
      <c r="E7" s="78">
        <f>-113650837.4602</f>
        <v>-113650837.4602</v>
      </c>
      <c r="F7" s="78">
        <v>207561691.2103</v>
      </c>
      <c r="G7" s="78">
        <v>83024676.485500008</v>
      </c>
      <c r="H7" s="78">
        <v>28676046.522599999</v>
      </c>
      <c r="I7" s="78">
        <v>6329241.3164999997</v>
      </c>
      <c r="J7" s="78">
        <v>51266163.555768929</v>
      </c>
      <c r="K7" s="78">
        <v>1037212521.4152</v>
      </c>
      <c r="L7" s="78">
        <f>SUM(D7:K7)</f>
        <v>2683699966.0310688</v>
      </c>
      <c r="M7" s="81">
        <v>1</v>
      </c>
      <c r="O7" s="2"/>
      <c r="P7" s="2"/>
      <c r="Q7" s="2"/>
      <c r="R7" s="2"/>
      <c r="S7" s="2"/>
      <c r="T7" s="2"/>
      <c r="U7" s="2"/>
    </row>
    <row r="8" spans="1:21" ht="18" x14ac:dyDescent="0.35">
      <c r="A8" s="80">
        <v>2</v>
      </c>
      <c r="B8" s="78" t="s">
        <v>40</v>
      </c>
      <c r="C8" s="80">
        <v>21</v>
      </c>
      <c r="D8" s="78">
        <v>1744809770.9624</v>
      </c>
      <c r="E8" s="78">
        <f>-140392210.98</f>
        <v>-140392210.97999999</v>
      </c>
      <c r="F8" s="78">
        <v>261809283.505</v>
      </c>
      <c r="G8" s="78">
        <v>104723713.4039</v>
      </c>
      <c r="H8" s="78">
        <v>36170717.004900001</v>
      </c>
      <c r="I8" s="78">
        <v>7983429.5265999995</v>
      </c>
      <c r="J8" s="78">
        <v>64664907.432472803</v>
      </c>
      <c r="K8" s="78">
        <v>1229045672.9547</v>
      </c>
      <c r="L8" s="78">
        <f t="shared" ref="L8:L44" si="0">SUM(D8:K8)</f>
        <v>3308815283.8099728</v>
      </c>
      <c r="M8" s="81">
        <v>2</v>
      </c>
      <c r="O8" s="2"/>
    </row>
    <row r="9" spans="1:21" ht="18" x14ac:dyDescent="0.35">
      <c r="A9" s="80">
        <v>3</v>
      </c>
      <c r="B9" s="78" t="s">
        <v>41</v>
      </c>
      <c r="C9" s="80">
        <v>31</v>
      </c>
      <c r="D9" s="78">
        <v>2323984085.0970001</v>
      </c>
      <c r="E9" s="78">
        <f>-207245644.7802</f>
        <v>-207245644.7802</v>
      </c>
      <c r="F9" s="78">
        <v>348714581.00059998</v>
      </c>
      <c r="G9" s="78">
        <v>139485832.40000001</v>
      </c>
      <c r="H9" s="78">
        <v>48177269.559499994</v>
      </c>
      <c r="I9" s="78">
        <v>10633459.001399999</v>
      </c>
      <c r="J9" s="78">
        <v>86129856.811715543</v>
      </c>
      <c r="K9" s="78">
        <v>1806611924.059</v>
      </c>
      <c r="L9" s="78">
        <f t="shared" si="0"/>
        <v>4556491363.1490154</v>
      </c>
      <c r="M9" s="81">
        <v>3</v>
      </c>
      <c r="O9" s="2"/>
    </row>
    <row r="10" spans="1:21" ht="18" x14ac:dyDescent="0.35">
      <c r="A10" s="80">
        <v>4</v>
      </c>
      <c r="B10" s="78" t="s">
        <v>42</v>
      </c>
      <c r="C10" s="80">
        <v>21</v>
      </c>
      <c r="D10" s="78">
        <v>1754238907.9487</v>
      </c>
      <c r="E10" s="78">
        <f>-140392210.98</f>
        <v>-140392210.97999999</v>
      </c>
      <c r="F10" s="78">
        <v>263224128.6336</v>
      </c>
      <c r="G10" s="78">
        <v>105289651.45400001</v>
      </c>
      <c r="H10" s="78">
        <v>36366187.394299999</v>
      </c>
      <c r="I10" s="78">
        <v>8026572.8262999998</v>
      </c>
      <c r="J10" s="78">
        <v>65014363.447662123</v>
      </c>
      <c r="K10" s="78">
        <v>1405713201.099</v>
      </c>
      <c r="L10" s="78">
        <f t="shared" si="0"/>
        <v>3497480801.8235617</v>
      </c>
      <c r="M10" s="81">
        <v>4</v>
      </c>
      <c r="O10" s="2"/>
    </row>
    <row r="11" spans="1:21" ht="18" x14ac:dyDescent="0.35">
      <c r="A11" s="80">
        <v>5</v>
      </c>
      <c r="B11" s="78" t="s">
        <v>43</v>
      </c>
      <c r="C11" s="80">
        <v>20</v>
      </c>
      <c r="D11" s="78">
        <v>1991408302.5274</v>
      </c>
      <c r="E11" s="78">
        <f>-133706867.6</f>
        <v>-133706867.59999999</v>
      </c>
      <c r="F11" s="78">
        <v>298811474.77639997</v>
      </c>
      <c r="G11" s="78">
        <v>119524589.9093</v>
      </c>
      <c r="H11" s="78">
        <v>41282819.107799999</v>
      </c>
      <c r="I11" s="78">
        <v>9111748.5161000006</v>
      </c>
      <c r="J11" s="78">
        <v>73804168.045121372</v>
      </c>
      <c r="K11" s="78">
        <v>1430749811.7881</v>
      </c>
      <c r="L11" s="78">
        <f t="shared" si="0"/>
        <v>3830986047.0702209</v>
      </c>
      <c r="M11" s="81">
        <v>5</v>
      </c>
      <c r="O11" s="2"/>
    </row>
    <row r="12" spans="1:21" ht="18" x14ac:dyDescent="0.35">
      <c r="A12" s="80">
        <v>6</v>
      </c>
      <c r="B12" s="78" t="s">
        <v>44</v>
      </c>
      <c r="C12" s="80">
        <v>8</v>
      </c>
      <c r="D12" s="78">
        <v>810576071.30970001</v>
      </c>
      <c r="E12" s="78">
        <f>-53482747.0401</f>
        <v>-53482747.040100001</v>
      </c>
      <c r="F12" s="78">
        <v>121627207.7305</v>
      </c>
      <c r="G12" s="78">
        <v>48650883.091499999</v>
      </c>
      <c r="H12" s="78">
        <v>16803618.465700001</v>
      </c>
      <c r="I12" s="78">
        <v>3708815.1666000001</v>
      </c>
      <c r="J12" s="78">
        <v>30040997.872894172</v>
      </c>
      <c r="K12" s="78">
        <v>609529901.20650005</v>
      </c>
      <c r="L12" s="78">
        <f t="shared" si="0"/>
        <v>1587454747.8032942</v>
      </c>
      <c r="M12" s="81">
        <v>6</v>
      </c>
      <c r="O12" s="2"/>
    </row>
    <row r="13" spans="1:21" ht="18" x14ac:dyDescent="0.35">
      <c r="A13" s="80">
        <v>7</v>
      </c>
      <c r="B13" s="78" t="s">
        <v>45</v>
      </c>
      <c r="C13" s="80">
        <v>23</v>
      </c>
      <c r="D13" s="78">
        <v>2166960440.8935003</v>
      </c>
      <c r="E13" s="78">
        <f>-153762897.7399</f>
        <v>-153762897.73989999</v>
      </c>
      <c r="F13" s="78">
        <v>325153131.22390002</v>
      </c>
      <c r="G13" s="78">
        <v>130061252.4905</v>
      </c>
      <c r="H13" s="78">
        <v>44922096.478799999</v>
      </c>
      <c r="I13" s="78">
        <v>9914992.5994999986</v>
      </c>
      <c r="J13" s="78">
        <f>80310357.4110019/2</f>
        <v>40155178.705500953</v>
      </c>
      <c r="K13" s="78">
        <v>1413696897.3859</v>
      </c>
      <c r="L13" s="78">
        <f t="shared" si="0"/>
        <v>3977101092.0377011</v>
      </c>
      <c r="M13" s="81">
        <v>7</v>
      </c>
      <c r="O13" s="2"/>
    </row>
    <row r="14" spans="1:21" ht="18" x14ac:dyDescent="0.35">
      <c r="A14" s="80">
        <v>8</v>
      </c>
      <c r="B14" s="78" t="s">
        <v>46</v>
      </c>
      <c r="C14" s="80">
        <v>27</v>
      </c>
      <c r="D14" s="78">
        <v>2352669652.5566001</v>
      </c>
      <c r="E14" s="78">
        <f>-180504271.2599</f>
        <v>-180504271.2599</v>
      </c>
      <c r="F14" s="78">
        <v>353018859.88739997</v>
      </c>
      <c r="G14" s="78">
        <v>141207543.95609999</v>
      </c>
      <c r="H14" s="78">
        <v>48771934.697300002</v>
      </c>
      <c r="I14" s="78">
        <v>10764710.6768</v>
      </c>
      <c r="J14" s="78">
        <v>87192981.053195134</v>
      </c>
      <c r="K14" s="78">
        <v>1620888797.6085999</v>
      </c>
      <c r="L14" s="78">
        <f t="shared" si="0"/>
        <v>4434010209.176095</v>
      </c>
      <c r="M14" s="81">
        <v>8</v>
      </c>
      <c r="O14" s="2"/>
    </row>
    <row r="15" spans="1:21" ht="18" x14ac:dyDescent="0.35">
      <c r="A15" s="80">
        <v>9</v>
      </c>
      <c r="B15" s="78" t="s">
        <v>47</v>
      </c>
      <c r="C15" s="80">
        <v>18</v>
      </c>
      <c r="D15" s="78">
        <v>1516692025.5409</v>
      </c>
      <c r="E15" s="78">
        <f>-120336180.8403</f>
        <v>-120336180.84029999</v>
      </c>
      <c r="F15" s="78">
        <v>227580140.3222</v>
      </c>
      <c r="G15" s="78">
        <v>91032056.129299998</v>
      </c>
      <c r="H15" s="78">
        <v>31441730.183000002</v>
      </c>
      <c r="I15" s="78">
        <v>6939669.9293</v>
      </c>
      <c r="J15" s="78">
        <v>56210568.662934951</v>
      </c>
      <c r="K15" s="78">
        <v>1074701973.0722001</v>
      </c>
      <c r="L15" s="78">
        <f t="shared" si="0"/>
        <v>2884261982.9995356</v>
      </c>
      <c r="M15" s="81">
        <v>9</v>
      </c>
      <c r="O15" s="2"/>
    </row>
    <row r="16" spans="1:21" ht="18" x14ac:dyDescent="0.35">
      <c r="A16" s="80">
        <v>10</v>
      </c>
      <c r="B16" s="78" t="s">
        <v>48</v>
      </c>
      <c r="C16" s="80">
        <v>25</v>
      </c>
      <c r="D16" s="78">
        <v>1943423303.7785001</v>
      </c>
      <c r="E16" s="78">
        <f>-167133584.5001</f>
        <v>-167133584.50009999</v>
      </c>
      <c r="F16" s="78">
        <v>291611309.8272</v>
      </c>
      <c r="G16" s="78">
        <v>116644523.93300001</v>
      </c>
      <c r="H16" s="78">
        <v>40288067.795000002</v>
      </c>
      <c r="I16" s="78">
        <v>8892191.7128000017</v>
      </c>
      <c r="J16" s="78">
        <v>72025781.911759198</v>
      </c>
      <c r="K16" s="78">
        <v>1690639158.8257</v>
      </c>
      <c r="L16" s="78">
        <f t="shared" si="0"/>
        <v>3996390753.2838593</v>
      </c>
      <c r="M16" s="81">
        <v>10</v>
      </c>
      <c r="O16" s="2"/>
    </row>
    <row r="17" spans="1:16" ht="18" x14ac:dyDescent="0.35">
      <c r="A17" s="80">
        <v>11</v>
      </c>
      <c r="B17" s="78" t="s">
        <v>49</v>
      </c>
      <c r="C17" s="80">
        <v>13</v>
      </c>
      <c r="D17" s="78">
        <v>1121951013.6915998</v>
      </c>
      <c r="E17" s="78">
        <f>-98465559.3811</f>
        <v>-98465559.381099999</v>
      </c>
      <c r="F17" s="78">
        <v>168349120.86649999</v>
      </c>
      <c r="G17" s="78">
        <v>67339648.348200008</v>
      </c>
      <c r="H17" s="78">
        <v>23258565.652799997</v>
      </c>
      <c r="I17" s="78">
        <v>5133520.5701000001</v>
      </c>
      <c r="J17" s="78">
        <v>41580956.073952422</v>
      </c>
      <c r="K17" s="78">
        <v>875292689.40390003</v>
      </c>
      <c r="L17" s="78">
        <f t="shared" si="0"/>
        <v>2204439955.2259526</v>
      </c>
      <c r="M17" s="81">
        <v>11</v>
      </c>
      <c r="O17" s="2"/>
    </row>
    <row r="18" spans="1:16" ht="18" x14ac:dyDescent="0.35">
      <c r="A18" s="80">
        <v>12</v>
      </c>
      <c r="B18" s="78" t="s">
        <v>50</v>
      </c>
      <c r="C18" s="80">
        <v>18</v>
      </c>
      <c r="D18" s="78">
        <v>1486981871.2916</v>
      </c>
      <c r="E18" s="78">
        <f>-120336180.8399</f>
        <v>-120336180.8399</v>
      </c>
      <c r="F18" s="78">
        <v>223122121.8414</v>
      </c>
      <c r="G18" s="78">
        <v>89248848.738499999</v>
      </c>
      <c r="H18" s="78">
        <v>30825824.8851</v>
      </c>
      <c r="I18" s="78">
        <v>6803730.2259</v>
      </c>
      <c r="J18" s="78">
        <v>55109471.909343682</v>
      </c>
      <c r="K18" s="78">
        <v>1187603927.7019999</v>
      </c>
      <c r="L18" s="78">
        <f t="shared" si="0"/>
        <v>2959359615.7539434</v>
      </c>
      <c r="M18" s="81">
        <v>12</v>
      </c>
      <c r="O18" s="2"/>
    </row>
    <row r="19" spans="1:16" ht="18" x14ac:dyDescent="0.35">
      <c r="A19" s="80">
        <v>13</v>
      </c>
      <c r="B19" s="78" t="s">
        <v>51</v>
      </c>
      <c r="C19" s="80">
        <v>16</v>
      </c>
      <c r="D19" s="78">
        <v>1180717530.2356</v>
      </c>
      <c r="E19" s="78">
        <f>-106965494.0802</f>
        <v>-106965494.0802</v>
      </c>
      <c r="F19" s="78">
        <v>177167056.1279</v>
      </c>
      <c r="G19" s="78">
        <v>70866822.449699998</v>
      </c>
      <c r="H19" s="78">
        <v>24476822.837100003</v>
      </c>
      <c r="I19" s="78">
        <v>5402408.5320999995</v>
      </c>
      <c r="J19" s="78">
        <v>43758919.205274761</v>
      </c>
      <c r="K19" s="78">
        <v>1047605457.9694</v>
      </c>
      <c r="L19" s="78">
        <f t="shared" si="0"/>
        <v>2443029523.2768745</v>
      </c>
      <c r="M19" s="81">
        <v>13</v>
      </c>
      <c r="O19" s="2"/>
    </row>
    <row r="20" spans="1:16" ht="18" x14ac:dyDescent="0.35">
      <c r="A20" s="80">
        <v>14</v>
      </c>
      <c r="B20" s="78" t="s">
        <v>52</v>
      </c>
      <c r="C20" s="80">
        <v>17</v>
      </c>
      <c r="D20" s="78">
        <v>1510795688.1947999</v>
      </c>
      <c r="E20" s="78">
        <f>-113650837.4601</f>
        <v>-113650837.4601</v>
      </c>
      <c r="F20" s="78">
        <v>226695392.95110002</v>
      </c>
      <c r="G20" s="78">
        <v>90678157.181100011</v>
      </c>
      <c r="H20" s="78">
        <v>31319496.371100001</v>
      </c>
      <c r="I20" s="78">
        <v>6912691.0605000006</v>
      </c>
      <c r="J20" s="78">
        <v>55992042.772545628</v>
      </c>
      <c r="K20" s="78">
        <v>1123776571.9635999</v>
      </c>
      <c r="L20" s="78">
        <f t="shared" si="0"/>
        <v>2932519203.0346451</v>
      </c>
      <c r="M20" s="81">
        <v>14</v>
      </c>
      <c r="O20" s="2"/>
    </row>
    <row r="21" spans="1:16" ht="18" x14ac:dyDescent="0.35">
      <c r="A21" s="80">
        <v>15</v>
      </c>
      <c r="B21" s="78" t="s">
        <v>53</v>
      </c>
      <c r="C21" s="80">
        <v>11</v>
      </c>
      <c r="D21" s="78">
        <v>1035198260.7306</v>
      </c>
      <c r="E21" s="78">
        <f>-73538777.1802</f>
        <v>-73538777.180199996</v>
      </c>
      <c r="F21" s="78">
        <v>155331841.57870001</v>
      </c>
      <c r="G21" s="78">
        <v>62132736.6325</v>
      </c>
      <c r="H21" s="78">
        <v>21460140.787799999</v>
      </c>
      <c r="I21" s="78">
        <v>4736580.7425000006</v>
      </c>
      <c r="J21" s="78">
        <v>38365786.814523295</v>
      </c>
      <c r="K21" s="78">
        <v>830569917.61160004</v>
      </c>
      <c r="L21" s="78">
        <f t="shared" si="0"/>
        <v>2074256487.7180233</v>
      </c>
      <c r="M21" s="81">
        <v>15</v>
      </c>
      <c r="O21" s="2"/>
      <c r="P21" s="99"/>
    </row>
    <row r="22" spans="1:16" ht="18" x14ac:dyDescent="0.35">
      <c r="A22" s="80">
        <v>16</v>
      </c>
      <c r="B22" s="78" t="s">
        <v>54</v>
      </c>
      <c r="C22" s="80">
        <v>27</v>
      </c>
      <c r="D22" s="78">
        <v>2024802295.8753002</v>
      </c>
      <c r="E22" s="78">
        <f>-180504271.2602</f>
        <v>-180504271.26019999</v>
      </c>
      <c r="F22" s="78">
        <v>303822254.52130002</v>
      </c>
      <c r="G22" s="78">
        <v>121528901.81030001</v>
      </c>
      <c r="H22" s="78">
        <v>41975092.101300001</v>
      </c>
      <c r="I22" s="78">
        <v>9264543.7365000006</v>
      </c>
      <c r="J22" s="78">
        <v>75041792.641266003</v>
      </c>
      <c r="K22" s="78">
        <v>1549793766.2725</v>
      </c>
      <c r="L22" s="78">
        <f t="shared" si="0"/>
        <v>3945724375.698266</v>
      </c>
      <c r="M22" s="81">
        <v>16</v>
      </c>
      <c r="O22" s="2"/>
    </row>
    <row r="23" spans="1:16" ht="18" x14ac:dyDescent="0.35">
      <c r="A23" s="80">
        <v>17</v>
      </c>
      <c r="B23" s="78" t="s">
        <v>55</v>
      </c>
      <c r="C23" s="80">
        <v>27</v>
      </c>
      <c r="D23" s="78">
        <v>2127245453.3996999</v>
      </c>
      <c r="E23" s="78">
        <f>-180504271.26</f>
        <v>-180504271.25999999</v>
      </c>
      <c r="F23" s="78">
        <v>319193884.20790005</v>
      </c>
      <c r="G23" s="78">
        <v>127677553.68460001</v>
      </c>
      <c r="H23" s="78">
        <v>44098786.340900004</v>
      </c>
      <c r="I23" s="78">
        <v>9733275.4813000001</v>
      </c>
      <c r="J23" s="78">
        <v>78838468.593191266</v>
      </c>
      <c r="K23" s="78">
        <v>1620991132.1672001</v>
      </c>
      <c r="L23" s="78">
        <f t="shared" si="0"/>
        <v>4147274282.6147909</v>
      </c>
      <c r="M23" s="81">
        <v>17</v>
      </c>
      <c r="O23" s="2"/>
    </row>
    <row r="24" spans="1:16" ht="18" x14ac:dyDescent="0.35">
      <c r="A24" s="80">
        <v>18</v>
      </c>
      <c r="B24" s="78" t="s">
        <v>56</v>
      </c>
      <c r="C24" s="80">
        <v>23</v>
      </c>
      <c r="D24" s="78">
        <v>2392288941.2983999</v>
      </c>
      <c r="E24" s="78">
        <f>-153762897.7399</f>
        <v>-153762897.73989999</v>
      </c>
      <c r="F24" s="78">
        <v>358963747.27499998</v>
      </c>
      <c r="G24" s="78">
        <v>143585498.9104</v>
      </c>
      <c r="H24" s="78">
        <v>49593260.955899999</v>
      </c>
      <c r="I24" s="78">
        <v>10945989.922800001</v>
      </c>
      <c r="J24" s="78">
        <v>88661323.151050493</v>
      </c>
      <c r="K24" s="78">
        <v>1938998494.5833001</v>
      </c>
      <c r="L24" s="78">
        <f t="shared" si="0"/>
        <v>4829274358.3569508</v>
      </c>
      <c r="M24" s="81">
        <v>18</v>
      </c>
      <c r="O24" s="2"/>
    </row>
    <row r="25" spans="1:16" ht="18" x14ac:dyDescent="0.35">
      <c r="A25" s="80">
        <v>19</v>
      </c>
      <c r="B25" s="78" t="s">
        <v>57</v>
      </c>
      <c r="C25" s="80">
        <v>44</v>
      </c>
      <c r="D25" s="78">
        <v>3808729027.4152999</v>
      </c>
      <c r="E25" s="78">
        <f>-806819553.7599</f>
        <v>-806819553.75989997</v>
      </c>
      <c r="F25" s="78">
        <v>571501050.91120005</v>
      </c>
      <c r="G25" s="78">
        <v>228600420.3662</v>
      </c>
      <c r="H25" s="78">
        <v>78956721.868599996</v>
      </c>
      <c r="I25" s="78">
        <v>17426954.091199998</v>
      </c>
      <c r="J25" s="78">
        <v>141156425.23895726</v>
      </c>
      <c r="K25" s="78">
        <v>3164676149.5342002</v>
      </c>
      <c r="L25" s="78">
        <f t="shared" si="0"/>
        <v>7204227195.6657572</v>
      </c>
      <c r="M25" s="81">
        <v>19</v>
      </c>
      <c r="O25" s="2"/>
    </row>
    <row r="26" spans="1:16" ht="18" x14ac:dyDescent="0.35">
      <c r="A26" s="80">
        <v>20</v>
      </c>
      <c r="B26" s="78" t="s">
        <v>58</v>
      </c>
      <c r="C26" s="80">
        <v>34</v>
      </c>
      <c r="D26" s="78">
        <v>2899650238.5915999</v>
      </c>
      <c r="E26" s="78">
        <f>-227301674.9199</f>
        <v>-227301674.9199</v>
      </c>
      <c r="F26" s="78">
        <v>435093477.83160001</v>
      </c>
      <c r="G26" s="78">
        <v>174037391.1304</v>
      </c>
      <c r="H26" s="78">
        <v>60111096.314900003</v>
      </c>
      <c r="I26" s="78">
        <v>13267436.781400001</v>
      </c>
      <c r="J26" s="78">
        <v>107464789.21924369</v>
      </c>
      <c r="K26" s="78">
        <v>2080012264.3062</v>
      </c>
      <c r="L26" s="78">
        <f t="shared" si="0"/>
        <v>5542335019.2554436</v>
      </c>
      <c r="M26" s="81">
        <v>20</v>
      </c>
      <c r="N26" s="99"/>
      <c r="O26" s="2"/>
    </row>
    <row r="27" spans="1:16" ht="18" x14ac:dyDescent="0.35">
      <c r="A27" s="80">
        <v>21</v>
      </c>
      <c r="B27" s="78" t="s">
        <v>59</v>
      </c>
      <c r="C27" s="80">
        <v>21</v>
      </c>
      <c r="D27" s="78">
        <v>1829990546.5026</v>
      </c>
      <c r="E27" s="78">
        <f>-140392210.9798</f>
        <v>-140392210.97979999</v>
      </c>
      <c r="F27" s="78">
        <v>274590687.0686</v>
      </c>
      <c r="G27" s="78">
        <v>109836274.8265</v>
      </c>
      <c r="H27" s="78">
        <v>37936554.047399998</v>
      </c>
      <c r="I27" s="78">
        <v>8373176.7238000007</v>
      </c>
      <c r="J27" s="78">
        <f>67821817.1757728/2</f>
        <v>33910908.587886401</v>
      </c>
      <c r="K27" s="78">
        <v>1224695878.3302</v>
      </c>
      <c r="L27" s="78">
        <f t="shared" si="0"/>
        <v>3378941815.1071863</v>
      </c>
      <c r="M27" s="81">
        <v>21</v>
      </c>
      <c r="O27" s="2"/>
    </row>
    <row r="28" spans="1:16" ht="18" x14ac:dyDescent="0.35">
      <c r="A28" s="80">
        <v>22</v>
      </c>
      <c r="B28" s="78" t="s">
        <v>60</v>
      </c>
      <c r="C28" s="80">
        <v>21</v>
      </c>
      <c r="D28" s="78">
        <v>1891429273.8999999</v>
      </c>
      <c r="E28" s="78">
        <f>-140392210.9799</f>
        <v>-140392210.9799</v>
      </c>
      <c r="F28" s="78">
        <v>283809588.44670004</v>
      </c>
      <c r="G28" s="78">
        <v>113523835.377</v>
      </c>
      <c r="H28" s="78">
        <v>39210207.4045</v>
      </c>
      <c r="I28" s="78">
        <v>8654291.4674000014</v>
      </c>
      <c r="J28" s="78">
        <f>70098815.8978971/2</f>
        <v>35049407.948948547</v>
      </c>
      <c r="K28" s="78">
        <v>1243372458.1691</v>
      </c>
      <c r="L28" s="78">
        <f t="shared" si="0"/>
        <v>3474656851.7337484</v>
      </c>
      <c r="M28" s="81">
        <v>22</v>
      </c>
      <c r="O28" s="2"/>
    </row>
    <row r="29" spans="1:16" ht="18" x14ac:dyDescent="0.35">
      <c r="A29" s="80">
        <v>23</v>
      </c>
      <c r="B29" s="78" t="s">
        <v>61</v>
      </c>
      <c r="C29" s="80">
        <v>16</v>
      </c>
      <c r="D29" s="78">
        <v>1338384328.8925998</v>
      </c>
      <c r="E29" s="78">
        <f>-106965494.08</f>
        <v>-106965494.08</v>
      </c>
      <c r="F29" s="78">
        <v>200825011.43959999</v>
      </c>
      <c r="G29" s="78">
        <v>80330004.5748</v>
      </c>
      <c r="H29" s="78">
        <v>27745328.808799997</v>
      </c>
      <c r="I29" s="78">
        <v>6123817.7059000004</v>
      </c>
      <c r="J29" s="78">
        <f>49602254.7427786/2</f>
        <v>24801127.3713893</v>
      </c>
      <c r="K29" s="78">
        <v>969428682.3599</v>
      </c>
      <c r="L29" s="78">
        <f t="shared" si="0"/>
        <v>2540672807.0729895</v>
      </c>
      <c r="M29" s="81">
        <v>23</v>
      </c>
      <c r="O29" s="2"/>
    </row>
    <row r="30" spans="1:16" ht="18" x14ac:dyDescent="0.35">
      <c r="A30" s="80">
        <v>24</v>
      </c>
      <c r="B30" s="78" t="s">
        <v>62</v>
      </c>
      <c r="C30" s="80">
        <v>20</v>
      </c>
      <c r="D30" s="78">
        <v>2279932602.5029001</v>
      </c>
      <c r="E30" s="78">
        <f>-133706867.6001</f>
        <v>-133706867.6001</v>
      </c>
      <c r="F30" s="78">
        <v>342104641.46429998</v>
      </c>
      <c r="G30" s="78">
        <v>136841856.58419999</v>
      </c>
      <c r="H30" s="78">
        <v>47264061.863700002</v>
      </c>
      <c r="I30" s="78">
        <v>10431900.118999999</v>
      </c>
      <c r="J30" s="78">
        <v>84497251.876390308</v>
      </c>
      <c r="K30" s="78">
        <v>6667110402.2227001</v>
      </c>
      <c r="L30" s="78">
        <f t="shared" si="0"/>
        <v>9434475849.0330906</v>
      </c>
      <c r="M30" s="81">
        <v>24</v>
      </c>
      <c r="O30" s="2"/>
    </row>
    <row r="31" spans="1:16" ht="18" x14ac:dyDescent="0.35">
      <c r="A31" s="80">
        <v>25</v>
      </c>
      <c r="B31" s="78" t="s">
        <v>63</v>
      </c>
      <c r="C31" s="80">
        <v>13</v>
      </c>
      <c r="D31" s="78">
        <v>1194069497.7644999</v>
      </c>
      <c r="E31" s="78">
        <f>-86909463.9399</f>
        <v>-86909463.939899996</v>
      </c>
      <c r="F31" s="78">
        <v>179170523.26860002</v>
      </c>
      <c r="G31" s="78">
        <v>71668209.3081</v>
      </c>
      <c r="H31" s="78">
        <v>24753615.326000001</v>
      </c>
      <c r="I31" s="78">
        <v>5463500.8607000001</v>
      </c>
      <c r="J31" s="78">
        <v>44253760.396131068</v>
      </c>
      <c r="K31" s="78">
        <v>767094403.35969996</v>
      </c>
      <c r="L31" s="78">
        <f t="shared" si="0"/>
        <v>2199564046.3438311</v>
      </c>
      <c r="M31" s="81">
        <v>25</v>
      </c>
      <c r="O31" s="2"/>
    </row>
    <row r="32" spans="1:16" ht="18" x14ac:dyDescent="0.35">
      <c r="A32" s="80">
        <v>26</v>
      </c>
      <c r="B32" s="78" t="s">
        <v>64</v>
      </c>
      <c r="C32" s="80">
        <v>25</v>
      </c>
      <c r="D32" s="78">
        <v>2210130533.2635999</v>
      </c>
      <c r="E32" s="78">
        <f>-167133584.5</f>
        <v>-167133584.5</v>
      </c>
      <c r="F32" s="78">
        <v>331630817.86899996</v>
      </c>
      <c r="G32" s="78">
        <v>132652327.14919999</v>
      </c>
      <c r="H32" s="78">
        <v>45817032.546000004</v>
      </c>
      <c r="I32" s="78">
        <v>10112518.653900001</v>
      </c>
      <c r="J32" s="78">
        <f>81910296.8847078/2</f>
        <v>40955148.442353897</v>
      </c>
      <c r="K32" s="78">
        <v>1506417289.1508</v>
      </c>
      <c r="L32" s="78">
        <f t="shared" si="0"/>
        <v>4110582082.5748539</v>
      </c>
      <c r="M32" s="81">
        <v>26</v>
      </c>
      <c r="O32" s="2"/>
    </row>
    <row r="33" spans="1:15" ht="18" x14ac:dyDescent="0.35">
      <c r="A33" s="80">
        <v>27</v>
      </c>
      <c r="B33" s="78" t="s">
        <v>65</v>
      </c>
      <c r="C33" s="80">
        <v>20</v>
      </c>
      <c r="D33" s="78">
        <v>1576699131.4032001</v>
      </c>
      <c r="E33" s="78">
        <f>-133706867.5999</f>
        <v>-133706867.59990001</v>
      </c>
      <c r="F33" s="78">
        <v>236584226.41670001</v>
      </c>
      <c r="G33" s="78">
        <v>94633690.565599993</v>
      </c>
      <c r="H33" s="78">
        <v>32685705.360599998</v>
      </c>
      <c r="I33" s="78">
        <v>7214234.2445999999</v>
      </c>
      <c r="J33" s="78">
        <v>58434509.639493205</v>
      </c>
      <c r="K33" s="78">
        <v>1439040788.2625</v>
      </c>
      <c r="L33" s="78">
        <f t="shared" si="0"/>
        <v>3311585418.2927933</v>
      </c>
      <c r="M33" s="81">
        <v>27</v>
      </c>
      <c r="O33" s="2"/>
    </row>
    <row r="34" spans="1:15" ht="18" x14ac:dyDescent="0.35">
      <c r="A34" s="80">
        <v>28</v>
      </c>
      <c r="B34" s="78" t="s">
        <v>66</v>
      </c>
      <c r="C34" s="80">
        <v>18</v>
      </c>
      <c r="D34" s="78">
        <v>1505847403.7075</v>
      </c>
      <c r="E34" s="78">
        <f>-120336180.8399</f>
        <v>-120336180.8399</v>
      </c>
      <c r="F34" s="78">
        <v>225952901.2247</v>
      </c>
      <c r="G34" s="78">
        <v>90381160.4912</v>
      </c>
      <c r="H34" s="78">
        <v>31216916.135699999</v>
      </c>
      <c r="I34" s="78">
        <v>6890050.0360000003</v>
      </c>
      <c r="J34" s="78">
        <v>55808652.947721347</v>
      </c>
      <c r="K34" s="78">
        <v>1209447670.1194</v>
      </c>
      <c r="L34" s="78">
        <f t="shared" si="0"/>
        <v>3005208573.8223209</v>
      </c>
      <c r="M34" s="81">
        <v>28</v>
      </c>
      <c r="O34" s="2"/>
    </row>
    <row r="35" spans="1:15" ht="18" x14ac:dyDescent="0.35">
      <c r="A35" s="80">
        <v>29</v>
      </c>
      <c r="B35" s="78" t="s">
        <v>67</v>
      </c>
      <c r="C35" s="80">
        <v>30</v>
      </c>
      <c r="D35" s="78">
        <v>2039708380.9890001</v>
      </c>
      <c r="E35" s="78">
        <f>-200560301.3999</f>
        <v>-200560301.39989999</v>
      </c>
      <c r="F35" s="78">
        <v>306058917.52520001</v>
      </c>
      <c r="G35" s="78">
        <v>122423567.01190001</v>
      </c>
      <c r="H35" s="78">
        <v>42284102.169100001</v>
      </c>
      <c r="I35" s="78">
        <v>9332746.9765000008</v>
      </c>
      <c r="J35" s="78">
        <v>75594231.440067947</v>
      </c>
      <c r="K35" s="78">
        <v>1611485024.0811999</v>
      </c>
      <c r="L35" s="78">
        <f t="shared" si="0"/>
        <v>4006326668.7930679</v>
      </c>
      <c r="M35" s="81">
        <v>29</v>
      </c>
      <c r="O35" s="2"/>
    </row>
    <row r="36" spans="1:15" ht="18" x14ac:dyDescent="0.35">
      <c r="A36" s="80">
        <v>30</v>
      </c>
      <c r="B36" s="78" t="s">
        <v>68</v>
      </c>
      <c r="C36" s="80">
        <v>33</v>
      </c>
      <c r="D36" s="78">
        <v>2572932975.7318997</v>
      </c>
      <c r="E36" s="78">
        <f>-220616331.5402</f>
        <v>-220616331.5402</v>
      </c>
      <c r="F36" s="78">
        <v>386069444.42330003</v>
      </c>
      <c r="G36" s="78">
        <v>154427777.76800001</v>
      </c>
      <c r="H36" s="78">
        <v>53338095.697900005</v>
      </c>
      <c r="I36" s="78">
        <v>11772532.1295</v>
      </c>
      <c r="J36" s="78">
        <v>95356224.772464067</v>
      </c>
      <c r="K36" s="78">
        <v>2847069305.4275999</v>
      </c>
      <c r="L36" s="78">
        <f t="shared" si="0"/>
        <v>5900350024.4104633</v>
      </c>
      <c r="M36" s="81">
        <v>30</v>
      </c>
      <c r="O36" s="2"/>
    </row>
    <row r="37" spans="1:15" ht="18" x14ac:dyDescent="0.35">
      <c r="A37" s="80">
        <v>31</v>
      </c>
      <c r="B37" s="78" t="s">
        <v>69</v>
      </c>
      <c r="C37" s="80">
        <v>17</v>
      </c>
      <c r="D37" s="78">
        <v>1612884238.9191</v>
      </c>
      <c r="E37" s="78">
        <f>-113650837.4601</f>
        <v>-113650837.4601</v>
      </c>
      <c r="F37" s="78">
        <v>242013813.77419999</v>
      </c>
      <c r="G37" s="78">
        <v>96805525.508399993</v>
      </c>
      <c r="H37" s="78">
        <v>33435839.447000004</v>
      </c>
      <c r="I37" s="78">
        <v>7379800.2912999997</v>
      </c>
      <c r="J37" s="78">
        <f>59775576.5383767/2</f>
        <v>29887788.269188348</v>
      </c>
      <c r="K37" s="78">
        <v>1157512706.4084001</v>
      </c>
      <c r="L37" s="78">
        <f t="shared" si="0"/>
        <v>3066268875.1574888</v>
      </c>
      <c r="M37" s="81">
        <v>31</v>
      </c>
      <c r="O37" s="2"/>
    </row>
    <row r="38" spans="1:15" ht="18" x14ac:dyDescent="0.35">
      <c r="A38" s="80">
        <v>32</v>
      </c>
      <c r="B38" s="78" t="s">
        <v>70</v>
      </c>
      <c r="C38" s="80">
        <v>23</v>
      </c>
      <c r="D38" s="78">
        <v>1999259427.4421999</v>
      </c>
      <c r="E38" s="78">
        <f>-153762897.7399</f>
        <v>-153762897.73989999</v>
      </c>
      <c r="F38" s="78">
        <v>299989538.66489995</v>
      </c>
      <c r="G38" s="78">
        <v>119995815.4659</v>
      </c>
      <c r="H38" s="78">
        <v>41445576.574099995</v>
      </c>
      <c r="I38" s="78">
        <v>9147671.5744000003</v>
      </c>
      <c r="J38" s="78">
        <v>74095140.891764075</v>
      </c>
      <c r="K38" s="78">
        <v>3163717262.2961001</v>
      </c>
      <c r="L38" s="78">
        <f t="shared" si="0"/>
        <v>5553887535.1694641</v>
      </c>
      <c r="M38" s="81">
        <v>32</v>
      </c>
      <c r="O38" s="2"/>
    </row>
    <row r="39" spans="1:15" ht="18" x14ac:dyDescent="0.35">
      <c r="A39" s="80">
        <v>33</v>
      </c>
      <c r="B39" s="78" t="s">
        <v>71</v>
      </c>
      <c r="C39" s="80">
        <v>23</v>
      </c>
      <c r="D39" s="78">
        <v>2013563680.6805999</v>
      </c>
      <c r="E39" s="78">
        <f>-153762897.7401</f>
        <v>-153762897.7401</v>
      </c>
      <c r="F39" s="78">
        <v>302135896.59420002</v>
      </c>
      <c r="G39" s="78">
        <v>120854358.63869999</v>
      </c>
      <c r="H39" s="78">
        <v>41742110.387699999</v>
      </c>
      <c r="I39" s="78">
        <v>9213121.114599999</v>
      </c>
      <c r="J39" s="78">
        <v>74625275.022720382</v>
      </c>
      <c r="K39" s="78">
        <v>1390049778.6682999</v>
      </c>
      <c r="L39" s="78">
        <f t="shared" si="0"/>
        <v>3798421323.3667202</v>
      </c>
      <c r="M39" s="81">
        <v>33</v>
      </c>
      <c r="O39" s="2"/>
    </row>
    <row r="40" spans="1:15" ht="18" x14ac:dyDescent="0.35">
      <c r="A40" s="80">
        <v>34</v>
      </c>
      <c r="B40" s="78" t="s">
        <v>72</v>
      </c>
      <c r="C40" s="80">
        <v>16</v>
      </c>
      <c r="D40" s="78">
        <v>1509172715.1705999</v>
      </c>
      <c r="E40" s="78">
        <f>-106965494.0801</f>
        <v>-106965494.0801</v>
      </c>
      <c r="F40" s="78">
        <v>226451865.34</v>
      </c>
      <c r="G40" s="78">
        <v>90580746.125400007</v>
      </c>
      <c r="H40" s="78">
        <v>31285851.386399999</v>
      </c>
      <c r="I40" s="78">
        <v>6905265.0982000008</v>
      </c>
      <c r="J40" s="78">
        <v>55931893.293220386</v>
      </c>
      <c r="K40" s="78">
        <v>918214344.28600001</v>
      </c>
      <c r="L40" s="78">
        <f t="shared" si="0"/>
        <v>2731577186.6197205</v>
      </c>
      <c r="M40" s="81">
        <v>34</v>
      </c>
      <c r="O40" s="2"/>
    </row>
    <row r="41" spans="1:15" ht="18" x14ac:dyDescent="0.35">
      <c r="A41" s="80">
        <v>35</v>
      </c>
      <c r="B41" s="78" t="s">
        <v>73</v>
      </c>
      <c r="C41" s="80">
        <v>17</v>
      </c>
      <c r="D41" s="78">
        <v>1517340905.1559999</v>
      </c>
      <c r="E41" s="78">
        <f>-113650837.46</f>
        <v>-113650837.45999999</v>
      </c>
      <c r="F41" s="78">
        <v>227677504.92129999</v>
      </c>
      <c r="G41" s="78">
        <v>91071001.969500005</v>
      </c>
      <c r="H41" s="78">
        <v>31455181.7586</v>
      </c>
      <c r="I41" s="78">
        <v>6942638.8972000005</v>
      </c>
      <c r="J41" s="78">
        <v>56234616.980980575</v>
      </c>
      <c r="K41" s="78">
        <v>1088949752.5084</v>
      </c>
      <c r="L41" s="78">
        <f t="shared" si="0"/>
        <v>2906020764.7319803</v>
      </c>
      <c r="M41" s="81">
        <v>35</v>
      </c>
      <c r="O41" s="2"/>
    </row>
    <row r="42" spans="1:15" ht="18" x14ac:dyDescent="0.35">
      <c r="A42" s="80">
        <v>36</v>
      </c>
      <c r="B42" s="78" t="s">
        <v>74</v>
      </c>
      <c r="C42" s="80">
        <v>14</v>
      </c>
      <c r="D42" s="78">
        <v>1371018939.2205</v>
      </c>
      <c r="E42" s="78">
        <f>-93594807.3201</f>
        <v>-93594807.320099995</v>
      </c>
      <c r="F42" s="78">
        <v>205721845.51089999</v>
      </c>
      <c r="G42" s="78">
        <v>82288738.206100002</v>
      </c>
      <c r="H42" s="78">
        <v>28421859.4397</v>
      </c>
      <c r="I42" s="78">
        <v>6273138.3463000003</v>
      </c>
      <c r="J42" s="78">
        <v>50811735.621717475</v>
      </c>
      <c r="K42" s="78">
        <v>946196595.72220004</v>
      </c>
      <c r="L42" s="78">
        <f t="shared" si="0"/>
        <v>2597138044.7473173</v>
      </c>
      <c r="M42" s="81">
        <v>36</v>
      </c>
      <c r="O42" s="2"/>
    </row>
    <row r="43" spans="1:15" ht="18" x14ac:dyDescent="0.35">
      <c r="A43" s="80">
        <v>37</v>
      </c>
      <c r="B43" s="78" t="s">
        <v>133</v>
      </c>
      <c r="C43" s="80">
        <v>6</v>
      </c>
      <c r="D43" s="78">
        <v>605536950.56340003</v>
      </c>
      <c r="E43" s="78">
        <f>-40112060.2801</f>
        <v>-40112060.280100003</v>
      </c>
      <c r="F43" s="78">
        <v>90861019.815300003</v>
      </c>
      <c r="G43" s="78">
        <v>36344407.924400002</v>
      </c>
      <c r="H43" s="78">
        <v>12553062.2534</v>
      </c>
      <c r="I43" s="78">
        <v>2770652.5096</v>
      </c>
      <c r="J43" s="78">
        <v>22441982.791704856</v>
      </c>
      <c r="K43" s="78">
        <v>2052936819.4842999</v>
      </c>
      <c r="L43" s="78">
        <f t="shared" si="0"/>
        <v>2783332835.062005</v>
      </c>
      <c r="M43" s="81">
        <v>37</v>
      </c>
      <c r="O43" s="2"/>
    </row>
    <row r="44" spans="1:15" ht="18" x14ac:dyDescent="0.35">
      <c r="A44" s="80">
        <v>38</v>
      </c>
      <c r="B44" s="78" t="s">
        <v>138</v>
      </c>
      <c r="C44" s="80"/>
      <c r="D44" s="78">
        <v>0</v>
      </c>
      <c r="E44" s="78">
        <v>0</v>
      </c>
      <c r="F44" s="78">
        <v>0</v>
      </c>
      <c r="G44" s="78">
        <v>0</v>
      </c>
      <c r="H44" s="78">
        <v>0</v>
      </c>
      <c r="I44" s="78">
        <v>0</v>
      </c>
      <c r="J44" s="78">
        <f>J13+J27+J28+J29+J32+J37</f>
        <v>204759559.32526743</v>
      </c>
      <c r="K44" s="78">
        <v>0</v>
      </c>
      <c r="L44" s="78">
        <f t="shared" si="0"/>
        <v>204759559.32526743</v>
      </c>
      <c r="M44" s="81"/>
      <c r="O44" s="2"/>
    </row>
    <row r="45" spans="1:15" ht="18" x14ac:dyDescent="0.35">
      <c r="A45" s="80"/>
      <c r="B45" s="82" t="s">
        <v>134</v>
      </c>
      <c r="C45" s="78"/>
      <c r="D45" s="83">
        <f>SUM(D7:D44)</f>
        <v>66644304876.134804</v>
      </c>
      <c r="E45" s="83">
        <f t="shared" ref="E45:I45" si="1">SUM(E7:E44)</f>
        <v>-5698676316.6020994</v>
      </c>
      <c r="F45" s="83">
        <f t="shared" si="1"/>
        <v>9999999999.9972019</v>
      </c>
      <c r="G45" s="83">
        <f t="shared" si="1"/>
        <v>3999999999.9998994</v>
      </c>
      <c r="H45" s="83">
        <f t="shared" si="1"/>
        <v>1381567395.9310002</v>
      </c>
      <c r="I45" s="83">
        <f t="shared" si="1"/>
        <v>304933019.16509998</v>
      </c>
      <c r="J45" s="83">
        <f>SUM(J7:J44)</f>
        <v>2469924158.737783</v>
      </c>
      <c r="K45" s="83">
        <f t="shared" ref="K45:L45" si="2">SUM(K7:K44)</f>
        <v>58940849391.785591</v>
      </c>
      <c r="L45" s="83">
        <f t="shared" si="2"/>
        <v>138042902525.14926</v>
      </c>
      <c r="M45" s="81"/>
      <c r="O45" s="2"/>
    </row>
    <row r="46" spans="1:15" x14ac:dyDescent="0.25">
      <c r="O46" s="2"/>
    </row>
    <row r="47" spans="1:15" x14ac:dyDescent="0.25">
      <c r="K47" s="1"/>
      <c r="L47" s="99"/>
    </row>
    <row r="48" spans="1:15" x14ac:dyDescent="0.25">
      <c r="I48" s="1"/>
      <c r="J48" s="1"/>
      <c r="K48" s="1"/>
      <c r="L48" s="1"/>
    </row>
    <row r="49" spans="11:12" x14ac:dyDescent="0.25">
      <c r="L49" s="1"/>
    </row>
    <row r="50" spans="11:12" x14ac:dyDescent="0.25">
      <c r="K50" s="1"/>
    </row>
    <row r="57" spans="11:12" x14ac:dyDescent="0.25">
      <c r="L57" s="99"/>
    </row>
  </sheetData>
  <mergeCells count="3">
    <mergeCell ref="A1:M1"/>
    <mergeCell ref="A2:M2"/>
    <mergeCell ref="A3:M3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MONTHENTRY</vt:lpstr>
      <vt:lpstr>Sum &amp; FG</vt:lpstr>
      <vt:lpstr>SG Details</vt:lpstr>
      <vt:lpstr>State Ecology </vt:lpstr>
      <vt:lpstr>Lgcs Sum </vt:lpstr>
      <vt:lpstr>acctmonth</vt:lpstr>
      <vt:lpstr>previuosmonth</vt:lpstr>
      <vt:lpstr>'SG Details'!Print_Area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Mikael Chenko</cp:lastModifiedBy>
  <cp:lastPrinted>2021-11-29T09:16:06Z</cp:lastPrinted>
  <dcterms:created xsi:type="dcterms:W3CDTF">2003-11-12T08:54:16Z</dcterms:created>
  <dcterms:modified xsi:type="dcterms:W3CDTF">2022-02-02T17:25:47Z</dcterms:modified>
</cp:coreProperties>
</file>